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913" activeTab="15"/>
  </bookViews>
  <sheets>
    <sheet name="2002-03" sheetId="17" r:id="rId1"/>
    <sheet name="2003-04" sheetId="16" r:id="rId2"/>
    <sheet name="2004-05" sheetId="14" r:id="rId3"/>
    <sheet name="2005-06" sheetId="12" r:id="rId4"/>
    <sheet name="2006-07" sheetId="1" r:id="rId5"/>
    <sheet name="2007-08" sheetId="6" r:id="rId6"/>
    <sheet name="2008-09" sheetId="3" r:id="rId7"/>
    <sheet name="2009-10" sheetId="4" r:id="rId8"/>
    <sheet name="2010-11" sheetId="5" r:id="rId9"/>
    <sheet name="2011-12" sheetId="7" r:id="rId10"/>
    <sheet name="2012-13" sheetId="18" r:id="rId11"/>
    <sheet name="2013-14" sheetId="9" r:id="rId12"/>
    <sheet name="2014-15" sheetId="10" r:id="rId13"/>
    <sheet name="2015-16" sheetId="13" r:id="rId14"/>
    <sheet name="2016-17" sheetId="20" r:id="rId15"/>
    <sheet name="Abstract-1980 to 2016" sheetId="15" r:id="rId16"/>
    <sheet name="Sheet1" sheetId="19" r:id="rId17"/>
  </sheets>
  <definedNames>
    <definedName name="_xlnm.Print_Area" localSheetId="0">'2002-03'!$B$1:$N$7</definedName>
    <definedName name="_xlnm.Print_Area" localSheetId="1">'2003-04'!$B$1:$N$7</definedName>
    <definedName name="_xlnm.Print_Area" localSheetId="2">'2004-05'!$B$1:$N$7</definedName>
    <definedName name="_xlnm.Print_Area" localSheetId="3">'2005-06'!$B$1:$N$9</definedName>
    <definedName name="_xlnm.Print_Titles" localSheetId="4">'2006-07'!$3:$3</definedName>
    <definedName name="_xlnm.Print_Titles" localSheetId="7">'2009-10'!$3:$3</definedName>
  </definedNames>
  <calcPr calcId="125725"/>
</workbook>
</file>

<file path=xl/calcChain.xml><?xml version="1.0" encoding="utf-8"?>
<calcChain xmlns="http://schemas.openxmlformats.org/spreadsheetml/2006/main">
  <c r="H11" i="20"/>
  <c r="G11"/>
  <c r="D11"/>
  <c r="E9"/>
  <c r="F9"/>
  <c r="K9" s="1"/>
  <c r="J8"/>
  <c r="E8"/>
  <c r="I8"/>
  <c r="I11" s="1"/>
  <c r="F8"/>
  <c r="J7"/>
  <c r="E7"/>
  <c r="K7" s="1"/>
  <c r="F7"/>
  <c r="F11" s="1"/>
  <c r="J4"/>
  <c r="J11" s="1"/>
  <c r="E4"/>
  <c r="E11" s="1"/>
  <c r="K8" l="1"/>
  <c r="K4" l="1"/>
  <c r="K11" s="1"/>
  <c r="H10" i="7"/>
  <c r="G10"/>
  <c r="H7"/>
  <c r="G7"/>
  <c r="H5"/>
  <c r="G5"/>
  <c r="H4"/>
  <c r="G4"/>
  <c r="H4" i="13"/>
  <c r="G4"/>
  <c r="F4"/>
  <c r="K6" i="10"/>
  <c r="K10" i="9"/>
  <c r="G6" i="6" l="1"/>
  <c r="L6" s="1"/>
  <c r="G19" i="15"/>
  <c r="D19"/>
  <c r="I8"/>
  <c r="H8"/>
  <c r="G8"/>
  <c r="F8"/>
  <c r="E8"/>
  <c r="I7"/>
  <c r="H7"/>
  <c r="G7"/>
  <c r="F7"/>
  <c r="J7" s="1"/>
  <c r="E7"/>
  <c r="I5"/>
  <c r="H5"/>
  <c r="G5"/>
  <c r="F5"/>
  <c r="E5"/>
  <c r="E10" i="10"/>
  <c r="G6" i="18"/>
  <c r="F6"/>
  <c r="E17" i="9"/>
  <c r="L19" i="5"/>
  <c r="K19"/>
  <c r="J19"/>
  <c r="I19"/>
  <c r="H19"/>
  <c r="G19"/>
  <c r="F19"/>
  <c r="E21" i="1"/>
  <c r="F21"/>
  <c r="L4" i="12"/>
  <c r="I7"/>
  <c r="I6" i="17"/>
  <c r="H6"/>
  <c r="G6"/>
  <c r="J6"/>
  <c r="L6"/>
  <c r="L4"/>
  <c r="F6"/>
  <c r="E6"/>
  <c r="K4" i="3"/>
  <c r="J4"/>
  <c r="H4"/>
  <c r="N37" i="7"/>
  <c r="M37"/>
  <c r="L4" i="14"/>
  <c r="L5"/>
  <c r="L5" i="12"/>
  <c r="L6"/>
  <c r="L4" i="1"/>
  <c r="L5"/>
  <c r="L7"/>
  <c r="L10"/>
  <c r="L13"/>
  <c r="L16"/>
  <c r="L17"/>
  <c r="L18"/>
  <c r="L19"/>
  <c r="L20"/>
  <c r="L4" i="6"/>
  <c r="L5"/>
  <c r="L7"/>
  <c r="M13" i="7"/>
  <c r="M14"/>
  <c r="M15"/>
  <c r="G18"/>
  <c r="H18"/>
  <c r="I18"/>
  <c r="J18"/>
  <c r="K18"/>
  <c r="L18"/>
  <c r="E7" i="13"/>
  <c r="F10" i="10"/>
  <c r="G10"/>
  <c r="L12" i="9"/>
  <c r="L13"/>
  <c r="F18" i="7"/>
  <c r="E19" i="5"/>
  <c r="E18" i="4"/>
  <c r="L5"/>
  <c r="L6"/>
  <c r="L7"/>
  <c r="L8"/>
  <c r="L9"/>
  <c r="L10"/>
  <c r="L11"/>
  <c r="L12"/>
  <c r="L13"/>
  <c r="L4"/>
  <c r="L18" s="1"/>
  <c r="E5" i="3"/>
  <c r="E7" i="12"/>
  <c r="E6" i="14"/>
  <c r="E8" i="6"/>
  <c r="L6" i="18"/>
  <c r="K6"/>
  <c r="J6"/>
  <c r="I6"/>
  <c r="H6"/>
  <c r="L6" i="16"/>
  <c r="K6"/>
  <c r="J6"/>
  <c r="I6"/>
  <c r="H6"/>
  <c r="G6"/>
  <c r="F6"/>
  <c r="K4" i="17"/>
  <c r="K5" s="1"/>
  <c r="K6" s="1"/>
  <c r="J4"/>
  <c r="J5" s="1"/>
  <c r="I4"/>
  <c r="I5" s="1"/>
  <c r="H4"/>
  <c r="H5" s="1"/>
  <c r="G5"/>
  <c r="F6" i="14"/>
  <c r="K6"/>
  <c r="J6"/>
  <c r="I6"/>
  <c r="H6"/>
  <c r="G6"/>
  <c r="K7" i="12"/>
  <c r="J7"/>
  <c r="H7"/>
  <c r="G7"/>
  <c r="F7"/>
  <c r="J4" i="15"/>
  <c r="J15"/>
  <c r="J6"/>
  <c r="J5"/>
  <c r="D12"/>
  <c r="L4" i="13"/>
  <c r="K5"/>
  <c r="F6"/>
  <c r="L6" s="1"/>
  <c r="F5"/>
  <c r="E17" i="15"/>
  <c r="J8" l="1"/>
  <c r="L21" i="1"/>
  <c r="L7" i="12"/>
  <c r="L8" i="6"/>
  <c r="L6" i="14"/>
  <c r="L4" i="3"/>
  <c r="F7" i="13"/>
  <c r="E18" i="15" s="1"/>
  <c r="L5" i="13"/>
  <c r="L7" s="1"/>
  <c r="L5" i="17"/>
  <c r="K7" i="13"/>
  <c r="I18" i="15" s="1"/>
  <c r="J7" i="13"/>
  <c r="I7"/>
  <c r="H7"/>
  <c r="G7"/>
  <c r="F18" i="15" s="1"/>
  <c r="J18" s="1"/>
  <c r="M17" i="7"/>
  <c r="M12"/>
  <c r="M11"/>
  <c r="M10"/>
  <c r="M8"/>
  <c r="M7"/>
  <c r="M6"/>
  <c r="M5"/>
  <c r="M4"/>
  <c r="K10" i="10"/>
  <c r="I17" i="15" s="1"/>
  <c r="J10" i="10"/>
  <c r="I10"/>
  <c r="F17" i="15"/>
  <c r="H10" i="10"/>
  <c r="L9"/>
  <c r="L8"/>
  <c r="L7"/>
  <c r="L6"/>
  <c r="L4"/>
  <c r="K17" i="9"/>
  <c r="I16" i="15" s="1"/>
  <c r="J17" i="9"/>
  <c r="I17"/>
  <c r="H17"/>
  <c r="G17"/>
  <c r="F16" i="15" s="1"/>
  <c r="F17" i="9"/>
  <c r="E16" i="15" s="1"/>
  <c r="L16" i="9"/>
  <c r="L15"/>
  <c r="L14"/>
  <c r="L11"/>
  <c r="L7"/>
  <c r="L10"/>
  <c r="L9"/>
  <c r="L4"/>
  <c r="I14" i="15"/>
  <c r="E14"/>
  <c r="L8" i="5"/>
  <c r="L7"/>
  <c r="L6"/>
  <c r="L4"/>
  <c r="L14"/>
  <c r="L12"/>
  <c r="L10"/>
  <c r="L15"/>
  <c r="L16"/>
  <c r="L13"/>
  <c r="L11"/>
  <c r="L9"/>
  <c r="H13" i="15"/>
  <c r="H19" s="1"/>
  <c r="F13"/>
  <c r="E13"/>
  <c r="K18" i="4"/>
  <c r="I12" i="15" s="1"/>
  <c r="J18" i="4"/>
  <c r="I18"/>
  <c r="H18"/>
  <c r="G18"/>
  <c r="F12" i="15" s="1"/>
  <c r="F18" i="4"/>
  <c r="E12" i="15" s="1"/>
  <c r="K5" i="3"/>
  <c r="J5"/>
  <c r="I5"/>
  <c r="H5"/>
  <c r="G5"/>
  <c r="F5"/>
  <c r="K8" i="6"/>
  <c r="I10" i="15" s="1"/>
  <c r="J8" i="6"/>
  <c r="I8"/>
  <c r="H8"/>
  <c r="G8"/>
  <c r="F10" i="15" s="1"/>
  <c r="F8" i="6"/>
  <c r="E10" i="15" s="1"/>
  <c r="K21" i="1"/>
  <c r="I9" i="15" s="1"/>
  <c r="J21" i="1"/>
  <c r="I21"/>
  <c r="H21"/>
  <c r="G21"/>
  <c r="F9" i="15" s="1"/>
  <c r="I19" l="1"/>
  <c r="J12"/>
  <c r="M18" i="7"/>
  <c r="E11" i="15"/>
  <c r="J11" s="1"/>
  <c r="L5" i="3"/>
  <c r="E9" i="15"/>
  <c r="J17"/>
  <c r="L17" i="9"/>
  <c r="J16" i="15"/>
  <c r="J13"/>
  <c r="J10"/>
  <c r="F14"/>
  <c r="F19" s="1"/>
  <c r="L10" i="10"/>
  <c r="J9" i="15" l="1"/>
  <c r="E19"/>
  <c r="J14"/>
  <c r="J19" s="1"/>
</calcChain>
</file>

<file path=xl/sharedStrings.xml><?xml version="1.0" encoding="utf-8"?>
<sst xmlns="http://schemas.openxmlformats.org/spreadsheetml/2006/main" count="694" uniqueCount="343">
  <si>
    <t>Fund Deposited in Adhoc CAMPA During 2006-07</t>
  </si>
  <si>
    <t>Division</t>
  </si>
  <si>
    <t>Project</t>
  </si>
  <si>
    <t>NPV</t>
  </si>
  <si>
    <t>CA</t>
  </si>
  <si>
    <t>Addl.CA</t>
  </si>
  <si>
    <t>CAT Plan</t>
  </si>
  <si>
    <t>Others</t>
  </si>
  <si>
    <t>Total</t>
  </si>
  <si>
    <t>Date of Deposition/Challan No.</t>
  </si>
  <si>
    <t>TOTAL</t>
  </si>
  <si>
    <t>Fund Deposited in Adhoc CAMPA During 2007-08</t>
  </si>
  <si>
    <t>Birbhum</t>
  </si>
  <si>
    <t>Construction of Bridge at Hatikra</t>
  </si>
  <si>
    <t xml:space="preserve">Kangsabati-I </t>
  </si>
  <si>
    <t>Purulia</t>
  </si>
  <si>
    <t>Kalimpong</t>
  </si>
  <si>
    <t>Jalpaiguri</t>
  </si>
  <si>
    <t>Baikunthapur</t>
  </si>
  <si>
    <t>Pipe Line by Oil(non-WL)</t>
  </si>
  <si>
    <t>Darjeeling</t>
  </si>
  <si>
    <t>Darjeeling(T)</t>
  </si>
  <si>
    <t>Transmission Line,  Ranchi Maithon</t>
  </si>
  <si>
    <t>Transmission Line, Siliguri-Singtham</t>
  </si>
  <si>
    <t>Coochbehar</t>
  </si>
  <si>
    <t>Wildlife-I</t>
  </si>
  <si>
    <t>BTR(W)</t>
  </si>
  <si>
    <t>Pipe Line by Oil (WL)</t>
  </si>
  <si>
    <t>Durgapur Social Forestry</t>
  </si>
  <si>
    <t>Transmission Tower of WBSEB from Durgapur to PPSP</t>
  </si>
  <si>
    <t>Bankura (South)</t>
  </si>
  <si>
    <t>Transmission Line of WBSEB , Digsuli</t>
  </si>
  <si>
    <t xml:space="preserve">Kangsabati Soil Conservation-II </t>
  </si>
  <si>
    <t>Transmission Line of WBSEB , Adaboni</t>
  </si>
  <si>
    <t xml:space="preserve">Kangsabati Soil Conservation-I </t>
  </si>
  <si>
    <t>Transmission Line of WBSEB , Bhushra &amp; Penchara</t>
  </si>
  <si>
    <t>Overhead Water Tank of Durgapur Municipal Corporation</t>
  </si>
  <si>
    <t>Panchet Soil Conservation</t>
  </si>
  <si>
    <t>Tarkeswar-Bishnupur Rly. Line</t>
  </si>
  <si>
    <t>Lanco Energy, Teesta Stage-VI</t>
  </si>
  <si>
    <t>Kurseong</t>
  </si>
  <si>
    <t>Suppl. Propsl, DLTP-IV</t>
  </si>
  <si>
    <t>Fund Deposited in Adhoc CAMPA During 2008-09</t>
  </si>
  <si>
    <t>Darjeeling (T)</t>
  </si>
  <si>
    <t>Drinking Water Project of Salesian College</t>
  </si>
  <si>
    <t>Fund Deposited in Adhoc CAMPA During 2009-10</t>
  </si>
  <si>
    <t>H.T Line of Saraswatipur Tea Estate</t>
  </si>
  <si>
    <t>Medinipur Forest Division</t>
  </si>
  <si>
    <t>Midnapur-Jhargrm Trans. Line of WBSETCL at Bagdubi</t>
  </si>
  <si>
    <t>Midnapur-Jhargrm Trans. Line of WBSETCL at Jamsole</t>
  </si>
  <si>
    <t>Kangsabati (N)</t>
  </si>
  <si>
    <t>Santaldih-Bishnupur Trans. Line</t>
  </si>
  <si>
    <t>Bankura (N)</t>
  </si>
  <si>
    <t>Construction of Road to Ash-pond of DVC</t>
  </si>
  <si>
    <t>On-ground water reservoir at Senchel WLS by PHE Dept.</t>
  </si>
  <si>
    <t>Maithon-Jamshedpur (LILO-Mejia) Transmission Line of Power Grid</t>
  </si>
  <si>
    <t>Bankura (S)</t>
  </si>
  <si>
    <t>Bankura-Mukutmanipur Rly. Line</t>
  </si>
  <si>
    <t>Alternate Link Road from Teesta-Takdah Valley, NHPC</t>
  </si>
  <si>
    <t xml:space="preserve">Durgapur </t>
  </si>
  <si>
    <t>Kangsabati (S)</t>
  </si>
  <si>
    <t>Durgapur-Jamshedpur Trans. Line of Power Grid</t>
  </si>
  <si>
    <t>Power Evacuation System of TLDP-III &amp; IV by NHPC</t>
  </si>
  <si>
    <t>Lohapool Via-duct of BRTF (km. 14.23 to km. 14.35)</t>
  </si>
  <si>
    <t xml:space="preserve">Maithon-Mejia 'B' Transmission Line of Power Grid </t>
  </si>
  <si>
    <t>Ferro Alloys Project by M/S BDG Metal &amp; Power Ltd.</t>
  </si>
  <si>
    <t>Improvement of NH-31A (km. 16.00 to km. 28.00)</t>
  </si>
  <si>
    <t>Kalijhora-Lohapool (km. 4.00 to km.14.23)</t>
  </si>
  <si>
    <t>Teesta-Rangpo (km. 29.00 to km. 52.10)</t>
  </si>
  <si>
    <t>Mile-27 to Lukhbir (km. 20.00 to km. 27.70)</t>
  </si>
  <si>
    <t>Barjore Block OCCMP by Bengal-EMTA Coal Mines Ltd.</t>
  </si>
  <si>
    <t>Immigration Check-Post of SIB at Rongbong-5 Block</t>
  </si>
  <si>
    <t>CAT Plan of NTPC Hydro Ltd.</t>
  </si>
  <si>
    <t>NO FOREST LAND IS INVOLVED FOR THE PROJECT. HENCE QUESTION OF DIVERSION DOES NOT ARISE</t>
  </si>
  <si>
    <r>
      <t>Border Outpost at Lamyadhura by 29</t>
    </r>
    <r>
      <rPr>
        <i/>
        <vertAlign val="superscript"/>
        <sz val="10"/>
        <rFont val="Arial"/>
        <family val="2"/>
      </rPr>
      <t>th</t>
    </r>
    <r>
      <rPr>
        <i/>
        <sz val="11"/>
        <color theme="1"/>
        <rFont val="Calibri"/>
        <family val="2"/>
        <scheme val="minor"/>
      </rPr>
      <t xml:space="preserve"> Bn.</t>
    </r>
  </si>
  <si>
    <r>
      <t>Border Outpost at Poolkhola by 29</t>
    </r>
    <r>
      <rPr>
        <i/>
        <vertAlign val="superscript"/>
        <sz val="10"/>
        <rFont val="Arial"/>
        <family val="2"/>
      </rPr>
      <t>th</t>
    </r>
    <r>
      <rPr>
        <i/>
        <sz val="11"/>
        <color theme="1"/>
        <rFont val="Calibri"/>
        <family val="2"/>
        <scheme val="minor"/>
      </rPr>
      <t xml:space="preserve"> Bn.</t>
    </r>
  </si>
  <si>
    <t>Kabngsabati (N)</t>
  </si>
  <si>
    <t>Excavation of LB Main Canal at Panchudi</t>
  </si>
  <si>
    <t>CA &amp; NPV not deposited</t>
  </si>
  <si>
    <t>Excavation of LB Main Canal at Gundlubari</t>
  </si>
  <si>
    <t>Remarks</t>
  </si>
  <si>
    <t>Payment made through RTGS</t>
  </si>
  <si>
    <t>Fund Deposited in Adhoc CAMPA During 2011-12</t>
  </si>
  <si>
    <t>Darjeeling SF (Hills), DGHC</t>
  </si>
  <si>
    <t>Establishment of Camp by BRTF at Happy Villa</t>
  </si>
  <si>
    <t>Suppl. Propsl,TLDP-III of NHPC</t>
  </si>
  <si>
    <t xml:space="preserve">Melli By-Pass(km.32.87 to km.35.00) </t>
  </si>
  <si>
    <t>Widening of NH-31A(km. 17.25 to km.20.10 &amp; km.27.70 to km.28.15)</t>
  </si>
  <si>
    <t xml:space="preserve">Kangsabati(N) </t>
  </si>
  <si>
    <t>Raghunathpur TPS-Ranchi Tran.Line of Power Grid</t>
  </si>
  <si>
    <t>Medinipur</t>
  </si>
  <si>
    <t>Godapeasal Industrial Park of WBIDC Ltd.</t>
  </si>
  <si>
    <t>Damdim-Algarah Road of BRTF</t>
  </si>
  <si>
    <t>Improvement of NH-31A (km.4.300 to km.14.075)</t>
  </si>
  <si>
    <t>Construction of Police Camp at Bandwan</t>
  </si>
  <si>
    <t>Conditions not yet complied</t>
  </si>
  <si>
    <r>
      <t>Border Outpost at Nakshal by 10</t>
    </r>
    <r>
      <rPr>
        <vertAlign val="superscript"/>
        <sz val="10"/>
        <rFont val="Arial"/>
        <family val="2"/>
      </rPr>
      <t>th</t>
    </r>
    <r>
      <rPr>
        <sz val="11"/>
        <color theme="1"/>
        <rFont val="Calibri"/>
        <family val="2"/>
        <scheme val="minor"/>
      </rPr>
      <t xml:space="preserve"> Bn, SSB</t>
    </r>
  </si>
  <si>
    <r>
      <t>Border Outpost at Khumani by 10</t>
    </r>
    <r>
      <rPr>
        <vertAlign val="superscript"/>
        <sz val="10"/>
        <rFont val="Arial"/>
        <family val="2"/>
      </rPr>
      <t>th</t>
    </r>
    <r>
      <rPr>
        <sz val="11"/>
        <color theme="1"/>
        <rFont val="Calibri"/>
        <family val="2"/>
        <scheme val="minor"/>
      </rPr>
      <t xml:space="preserve"> Bn., SSB</t>
    </r>
  </si>
  <si>
    <t>Purba Medinipur</t>
  </si>
  <si>
    <t>Talpattighat Coastal Police Station</t>
  </si>
  <si>
    <t>Raghunathpur TPS-Ranchi Trans.Line of DVC</t>
  </si>
  <si>
    <t>Fund Deposited in Adhoc CAMPA During 2010-11</t>
  </si>
  <si>
    <t>NIL</t>
  </si>
  <si>
    <t>Fund Deposited in Adhoc CAMPA During 2013-14</t>
  </si>
  <si>
    <t>Construction of Transmission Line by  Teesta Valley Power Transmision Ltd.</t>
  </si>
  <si>
    <t>Conditions not Complied</t>
  </si>
  <si>
    <t>Darjeeling SF(Hills)</t>
  </si>
  <si>
    <t>Darjeeling(T)/DGHC</t>
  </si>
  <si>
    <t>Border Outpost at Chabisey by 29th Bn., SSB</t>
  </si>
  <si>
    <t>Erection of Transmission Tower and Drawl of Transmission Line by DVC</t>
  </si>
  <si>
    <t>Malda</t>
  </si>
  <si>
    <t>Indo-Bangladesh Border Road at Pathar Mahadevbati by CPWD, Malda</t>
  </si>
  <si>
    <t>Conditions not yet Complied</t>
  </si>
  <si>
    <t>Rs.4361140/- deposited through DD &amp; Rs.1650000/- through RTGS</t>
  </si>
  <si>
    <t>Construction of Water Tank &amp; Water PipeLine by GTA</t>
  </si>
  <si>
    <t>Conditions yet  to be Complied</t>
  </si>
  <si>
    <t>Construction of Water Tank &amp; Water PipeLine by Darjeeling Municipality</t>
  </si>
  <si>
    <t xml:space="preserve">Construction of Water Reservoir  by SSB under Darjeeling </t>
  </si>
  <si>
    <t>Border Outpost at Sipchu by 10th Bn., SSB</t>
  </si>
  <si>
    <t>Kharagpur</t>
  </si>
  <si>
    <t>Construction of Forestry Training Institute at Hijli by FTC, Jhargram</t>
  </si>
  <si>
    <t>Fund Deposited in Adhoc CAMPA During 2014-15</t>
  </si>
  <si>
    <t>Burdwan</t>
  </si>
  <si>
    <t>Durgapur</t>
  </si>
  <si>
    <t>Extraction of CBM gas project of Essar Oil Ltd.</t>
  </si>
  <si>
    <t xml:space="preserve">CA  not stipulated and payment of NPV made through RTGS </t>
  </si>
  <si>
    <t>Bongaigaon- Siliguri Transmission  Line of East-North Interconnection Co.</t>
  </si>
  <si>
    <t>Setting up of Astronomical Observatory by S.N. Bose Centre for Basic Sciences.</t>
  </si>
  <si>
    <t>Estimate for CA not yet received,Condition not yet Complied</t>
  </si>
  <si>
    <t>Construction of 135 mtr. Span bridge at Rangpo (Km.52.1 to Km.52.3) by BRTF.</t>
  </si>
  <si>
    <t>Construction of 1000 mtr. Viaduct at Rangpo (Km.51.1 to Km.53.9) by BRTF.</t>
  </si>
  <si>
    <t>CA &amp; NPV not deposited but other Conditions not Complied</t>
  </si>
  <si>
    <t>Year</t>
  </si>
  <si>
    <t>2006-07</t>
  </si>
  <si>
    <t>2007-08</t>
  </si>
  <si>
    <t>2008-09</t>
  </si>
  <si>
    <t>2010-11</t>
  </si>
  <si>
    <t>2011-12</t>
  </si>
  <si>
    <t>2012-13</t>
  </si>
  <si>
    <t>2013-14</t>
  </si>
  <si>
    <t>2014-15</t>
  </si>
  <si>
    <t>2009-10</t>
  </si>
  <si>
    <t>ABSTRACT OF COMPONENT WISE FUND DEPOSITED IN ADHOC CAMPA</t>
  </si>
  <si>
    <t>Grand Total</t>
  </si>
  <si>
    <t>SI.        NO.</t>
  </si>
  <si>
    <t>Fund Deposited in Adhoc CAMPA During 2015-16</t>
  </si>
  <si>
    <t xml:space="preserve"> Diversion of 2.00 ha./ 4.95 Acres of Forest Land in favour of S. N. Bose national Centre for Basic Sciences for setting of Astronomical Observatory at Panchet Hill top under Kangsabati  (North) Divn.</t>
  </si>
  <si>
    <t xml:space="preserve"> Diversion of 10.59 ha. of forest land in favour of PKTCL for laying of 400 KV DC transmission line from Kharagpur to Chaibasa under Kharagpur Divn.</t>
  </si>
  <si>
    <t>Diversion of 1.920 ha. (Km 0.00 to Km 3.20)  for improvement of Kalimpong Algarah By Pass Road under Kalimpong Division.</t>
  </si>
  <si>
    <t>Kangsabati North</t>
  </si>
  <si>
    <t xml:space="preserve">Kharagpur </t>
  </si>
  <si>
    <t xml:space="preserve">Kalimpong </t>
  </si>
  <si>
    <t>Paid through RTGS on 30.09.2015</t>
  </si>
  <si>
    <t>Paid through RTGS on 24.05.2016</t>
  </si>
  <si>
    <t>DD No.409986 Dt. 22.8.2006</t>
  </si>
  <si>
    <t>DD No.61729 dt. 23.3.06 &amp; DD No. 980513 dt. 26.04.06</t>
  </si>
  <si>
    <t>DD No. 899213 dt. 28.8.06</t>
  </si>
  <si>
    <t>Ch. No. 702843 dt.22.6.06</t>
  </si>
  <si>
    <t>Ch. No.720832 dt. 28.11.06</t>
  </si>
  <si>
    <t>Ch. No. 720850 dt. 26.12.06</t>
  </si>
  <si>
    <t>Ch. No. 720851 dt. 26.12.06</t>
  </si>
  <si>
    <t>DD No. 775270 dt. 27.12.06</t>
  </si>
  <si>
    <t>DD No.381934 dt. 03.4.08</t>
  </si>
  <si>
    <t>DD No. 543282 dt. 09.6.06</t>
  </si>
  <si>
    <t>DD No.036018 dt. 22.06.09</t>
  </si>
  <si>
    <t>DD No.618309, DD No.618310 &amp; DD No.618311 dt. 06.5.09</t>
  </si>
  <si>
    <t>DD No.215310 dt. 14.7.09       DD No.218774 dt.21.8.09</t>
  </si>
  <si>
    <t>Ch.No.266910 dt.03.10.08  Ch.No.267402 dt.06.03.09</t>
  </si>
  <si>
    <t>DD No.230158 dt.17.12.09</t>
  </si>
  <si>
    <t>DD No. 057430 dt.12.08.09</t>
  </si>
  <si>
    <t>DD No. 219557                 Dt. 29.8.09</t>
  </si>
  <si>
    <t>DD No. 063549 &amp; 063550 dt. 17.03.10</t>
  </si>
  <si>
    <t>DD No.177154970, 177154987,17754994 &amp; 177155007  dt. 01.10.10</t>
  </si>
  <si>
    <t>DD No. 067275                                   dt. 08.06.10</t>
  </si>
  <si>
    <t>DD No. 037859 dt.20.9.10</t>
  </si>
  <si>
    <t>DD No. 749778 dt.26.11.10</t>
  </si>
  <si>
    <t>DD No. 310398 dt.21.6.12</t>
  </si>
  <si>
    <t>DD No. 068291 dt.07.1.11</t>
  </si>
  <si>
    <t>Amount of Rs.2086000.00 deposited through RTGS on 06.8.12 to Ad-hoc CAMPA</t>
  </si>
  <si>
    <t>Amount of Rs.534604.00 deposited through RTGS on 12.4.12 to Ad-hoc CAMPA.</t>
  </si>
  <si>
    <t>Paid through RTGS dt. 06.08.13</t>
  </si>
  <si>
    <t>Paid at S.B.I., Darjeeling dt. 14.02.13</t>
  </si>
  <si>
    <t>Amount of Rs.9,29,610/- deposited through RTGS to Ad-hoc CAMPA on 18.10.12</t>
  </si>
  <si>
    <t>Half of Actual NPV as per CF(C) letter No. 5/WBB 066/2014 BHU 10/2/14</t>
  </si>
  <si>
    <t>Safety Zone</t>
  </si>
  <si>
    <t>2002-03</t>
  </si>
  <si>
    <t>2003-04</t>
  </si>
  <si>
    <t>2004-05</t>
  </si>
  <si>
    <t>2005-06</t>
  </si>
  <si>
    <t xml:space="preserve"> RTGS No. for NPV &amp; CA(UTR No-ICICH15225038573.dt-13.08.2015) and others-(BKIDN15289608698, dt-16.10.2015 &amp; BKIDN16011815406, dt-11.01.2016)</t>
  </si>
  <si>
    <t>Paid through RTGS on 13.08.2015 &amp;11.01.2016</t>
  </si>
  <si>
    <t>2015-16</t>
  </si>
  <si>
    <t xml:space="preserve"> RTGS No.(SBINR52016052430153468, dt-24.05.2016)</t>
  </si>
  <si>
    <t>J Reserve fund transferred by State CAMPA                   to                                Adhoc CAMPA</t>
  </si>
  <si>
    <t>1981 TO 31.03.2002</t>
  </si>
  <si>
    <t>Old P.O Bldng at Khejuri</t>
  </si>
  <si>
    <t>Kharagpur SF</t>
  </si>
  <si>
    <t>Plants Water System to BRP</t>
  </si>
  <si>
    <t>T.L.D.P Stage IV</t>
  </si>
  <si>
    <t>Fund Deposited in Adhoc CAMPA During 2005-06</t>
  </si>
  <si>
    <t>Fund Deposited in Adhoc CAMPA During 2004-05</t>
  </si>
  <si>
    <t xml:space="preserve">                         </t>
  </si>
  <si>
    <t xml:space="preserve">                                  </t>
  </si>
  <si>
    <t xml:space="preserve">                                      </t>
  </si>
  <si>
    <t xml:space="preserve">                                                                                                    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</si>
  <si>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</si>
  <si>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</si>
  <si>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</si>
  <si>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</si>
  <si>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</t>
  </si>
  <si>
    <t xml:space="preserve">                  </t>
  </si>
  <si>
    <t xml:space="preserve">                   </t>
  </si>
  <si>
    <t xml:space="preserve">                                   </t>
  </si>
  <si>
    <t xml:space="preserve">                                                                         </t>
  </si>
  <si>
    <t xml:space="preserve">                             </t>
  </si>
  <si>
    <t xml:space="preserve">                                                       </t>
  </si>
  <si>
    <t xml:space="preserve">                                                                                                                </t>
  </si>
  <si>
    <t>Fund Deposited in Adhoc CAMPA During 2003-04</t>
  </si>
  <si>
    <t>Transmission Line</t>
  </si>
  <si>
    <t>Fund Deposited in Adhoc CAMPA During 2002-03</t>
  </si>
  <si>
    <t>Fund Deposited in Adhoc CAMPA During 2012-13</t>
  </si>
  <si>
    <t>Name of the Project &amp; GOI's Release No. &amp; Dt.</t>
  </si>
  <si>
    <t xml:space="preserve"> </t>
  </si>
  <si>
    <t xml:space="preserve">Name of the Project </t>
  </si>
  <si>
    <t>Forest Area Diverted(in hec.)</t>
  </si>
  <si>
    <t>GOI's Release No. &amp; Dt.</t>
  </si>
  <si>
    <t xml:space="preserve">Transmission Line, </t>
  </si>
  <si>
    <t xml:space="preserve">Addl. Land to P.P.S.P.(stg)          </t>
  </si>
  <si>
    <t xml:space="preserve">T.L.D.P. Stage- III, </t>
  </si>
  <si>
    <t>8-34/2003-FC dt.07.04.2004</t>
  </si>
  <si>
    <t>9-10/FCE-573 dt.09.12.2005</t>
  </si>
  <si>
    <t>5-WBB005/2006-BHU dt.04.05.2006</t>
  </si>
  <si>
    <t>WBC002/2005-BHU dt.28.06.2006</t>
  </si>
  <si>
    <t>5-WBC004/2006-BHU dt.01.09.2006</t>
  </si>
  <si>
    <t>8-37/2006-FC dt.27.12.2006</t>
  </si>
  <si>
    <t>WBC007/2006-BHU dt.31.01.2007</t>
  </si>
  <si>
    <t>1476-For/FR/O/L/6M-1/06 dt.25.04.2006</t>
  </si>
  <si>
    <t>4473-For/FR/O/L/10T-16/06 dt.28.12.2006</t>
  </si>
  <si>
    <t>4471-For/FR/O/L/10T-13/06 dt.28.12.2006</t>
  </si>
  <si>
    <t>4472-For/FR/O/L/10T-15/06 dt.28.12.2006</t>
  </si>
  <si>
    <t>4485-For/FR/O/L/10T-14/06 dt.29.12.2006</t>
  </si>
  <si>
    <t>5-WBC008/2007-BHU dt.28.08.2007</t>
  </si>
  <si>
    <t>5-WBB009/2007-BHU dt.11.09.2007</t>
  </si>
  <si>
    <t>8-61/2004-FC dt.13.11.2007</t>
  </si>
  <si>
    <t>5-WBB011/2007-BHU dt.28.12.2007</t>
  </si>
  <si>
    <t>5-WBB012/2008-BHU dt.21.05.2008</t>
  </si>
  <si>
    <t>5-WBB026/2009-BHU dt.30.06.2009</t>
  </si>
  <si>
    <t>5-WBB020/2008-BHU dt. 29.07.2009</t>
  </si>
  <si>
    <t>5-WBB021/2008-BHU dt. 29.07.2009</t>
  </si>
  <si>
    <t>5-WBC014/2008-BHU dt.04.09.2009</t>
  </si>
  <si>
    <t>5-WBB013/2008-BHU dt.04.09.2009</t>
  </si>
  <si>
    <t>5-WBB006/2006-BHU dt.19.11.2009</t>
  </si>
  <si>
    <t>5-WBB031/2009-BHU dt.01.01.2010</t>
  </si>
  <si>
    <t>5-WBC015/2008-BHU dt.15.01.2010</t>
  </si>
  <si>
    <t>5-WBB033/2009-BHU dt. 03.03.2010</t>
  </si>
  <si>
    <t>5-WBC022/2008-BHU dt.24.03.2010</t>
  </si>
  <si>
    <t>5-WBB040/2010-BHU dt.19.08.2010</t>
  </si>
  <si>
    <t>5-WBB025/2008-BHU dt.09.09.2010</t>
  </si>
  <si>
    <t>safety zone</t>
  </si>
  <si>
    <t>5-wbb024/2008-BHU dt.09.09.2010</t>
  </si>
  <si>
    <t>5-WBB038/2010-BHU dt.13.12.2010</t>
  </si>
  <si>
    <t>5-WBB035/2010-BHU dt.15.12.2010</t>
  </si>
  <si>
    <t>5-WBB036/2010-BHU dt. 11.01.2011</t>
  </si>
  <si>
    <t>5-WBB039/2010-BHU dt.12.01.2011</t>
  </si>
  <si>
    <t>5-WBB037/2010-BHU dt.12.01.2011</t>
  </si>
  <si>
    <t>5-WBC042/2010-BHU dt.12.01.2011</t>
  </si>
  <si>
    <t>5-WBB032/2009-BHU dt.17.01.2011</t>
  </si>
  <si>
    <t>514-For/FR/O/L/10T-12/10 dt.03.02.2011</t>
  </si>
  <si>
    <t>5-WBB034/2009-BHU dt.18.05.2011</t>
  </si>
  <si>
    <t>5-WBC023/2008-BHU dt.02.06.2011</t>
  </si>
  <si>
    <t>5-WBB048/2011-BHU dt.03.08.2011</t>
  </si>
  <si>
    <t>5-WBB049/2011-BHU dt.21.12.2011</t>
  </si>
  <si>
    <t>5-WBB051/2011-BHU dt.16.02.2012</t>
  </si>
  <si>
    <t>5-WBC046/2010-BHU dt.16.02.2012</t>
  </si>
  <si>
    <t>5-WBC041/2010-BHU dt.27.03.2012</t>
  </si>
  <si>
    <t>1361-For/O/L/10T-6/2011 dt.25.05.2011</t>
  </si>
  <si>
    <t>2550-For/L/10T-14/2011 dt.21.10.2011</t>
  </si>
  <si>
    <t>2864-For/FR/L/10T-16/2011 dt.08.12.2011</t>
  </si>
  <si>
    <t>3005-For/FR/L/10T-17/2011 dt.22.12.2011</t>
  </si>
  <si>
    <t>3195-For/O/L/10T-17/2012 dt.05.12.2013</t>
  </si>
  <si>
    <t>2068-For/L/10T-4/2012 dt.28.10.2013</t>
  </si>
  <si>
    <t>8-12/2013-FC dt.28.05.2013</t>
  </si>
  <si>
    <t>5-WBB062/2013-BHU                   dt.05.12.2013</t>
  </si>
  <si>
    <t>5-WBB066/2014-BHU dt.15.04.2014</t>
  </si>
  <si>
    <t>5-WBC083/2015-BHU Dt.26.03.2015</t>
  </si>
  <si>
    <t xml:space="preserve">1283-For/O/L/10T-7/2013                         dt. 26/06/2013                          </t>
  </si>
  <si>
    <t xml:space="preserve">1425-For/O/L/10T-7/2012                         dt. 12/07/2013                          </t>
  </si>
  <si>
    <t>5-WBB071/2014-BHU                          dt. 03.03.2014</t>
  </si>
  <si>
    <t>5-WBB077/2014-BHU dt.20.10.2014</t>
  </si>
  <si>
    <t>5-WBB059/2013-BHU                              dt. 02.06.2014</t>
  </si>
  <si>
    <t>5-WBB071/2014-BHU                            dt. 17.10.2014</t>
  </si>
  <si>
    <t>5-WBB079/2014-BHU                         dt. 08.12.2014</t>
  </si>
  <si>
    <t>5-WBB080/2014-BHU dt.12.12.2014</t>
  </si>
  <si>
    <t>5-WBB061/2013-BHU dt.08.08.2013</t>
  </si>
  <si>
    <t>5-WBB058/2013-BHU                                dt. 23.03.2013</t>
  </si>
  <si>
    <t>5-WBB028/2009-BHU dt.30.09.2013</t>
  </si>
  <si>
    <t>1526-FoR/FR/O/L/10T-8/2012                      dt. 30.07.2013</t>
  </si>
  <si>
    <t>5-WBC047/2011-BHU                         dt. 09.06.2011</t>
  </si>
  <si>
    <t>8-59/2007-FC                    dt. 12.08.2010</t>
  </si>
  <si>
    <t>513-For/FR/O/L/10T-12/10                       dt. 03.02.2011</t>
  </si>
  <si>
    <t>WBB001/2005-BHU                           dt. 01.08.2005</t>
  </si>
  <si>
    <t>8-61/2004-FC dt.30/03/2006</t>
  </si>
  <si>
    <t>9-62/FCE                dt. 18.10.2004</t>
  </si>
  <si>
    <t>9(25)1/2002-FCE dt.25.11.2002</t>
  </si>
  <si>
    <t>8-121/99F dt.28.01.2003</t>
  </si>
  <si>
    <t>Steel Bridge over River Sahu</t>
  </si>
  <si>
    <t>Payment made through RTGS (UTR NO.SBINH14081336713)</t>
  </si>
  <si>
    <t>DD No.031781 Dt.18.05.2007  Rs.25,00,00,000</t>
  </si>
  <si>
    <t>DD No.031781 Dt.18.05.2007  Rs.25,00,00,000 &amp;                           DD No.036969, Dt.05.02.2010, Rs.30,86,85,337</t>
  </si>
  <si>
    <t>DD No.032297, Dt.07.08.2007             &amp;                              DD No.032411, Dt.29.08.2007</t>
  </si>
  <si>
    <t>DD No.032375, Dt.21.08.2007            &amp;                              DD No.032411, Dt.29.08.2007</t>
  </si>
  <si>
    <t>DD No.034919 Dt.16.12.2008  Rs.22,31,86,169 &amp;                                DD No.038071, Dt.09.11.2010 Rs.53,74,405       &amp;                              DD No.039409 Dt.14.10.2011 Rs.2,72,04,879</t>
  </si>
  <si>
    <t>DD No.036018 , Dt.22.06.2009, Rs.1,43,48,433</t>
  </si>
  <si>
    <t>DD No.034919 Dt.16.12.2008  Rs.22,31,86,169  &amp;                            DD No.036018 , Dt.22.06.2009, Rs.1,43,48,433</t>
  </si>
  <si>
    <t>DD No.036969, Dt.05.02.2010, Rs.30,86,85,337</t>
  </si>
  <si>
    <t xml:space="preserve">DD No.034919 Dt.16.12.2008  Rs.22,31,86,169 &amp;                               DD No.035924, Dt.04.06.2009            &amp;                                  DD No.036969, Dt.05.02.2010, Rs.30,86,85,337  </t>
  </si>
  <si>
    <t>DD No.037376, Dt.13.05.2010, Rs.18,51,580</t>
  </si>
  <si>
    <t>DD No.038071, Dt.09.11.2010 Rs.53,74,405</t>
  </si>
  <si>
    <t>DD no.037859, Dt.20.02.2010, Rs.3,47,68,934</t>
  </si>
  <si>
    <t>DD No.038442, Dt.10.02.2011, Rs.6,18,62,597</t>
  </si>
  <si>
    <t>DD No.039409, Dt.14.10.2011, Rs.2,72,04,879</t>
  </si>
  <si>
    <t>DD No.039093, Dt.13.07.2011, Rs.43,61,140</t>
  </si>
  <si>
    <t>Rs.4361140/- deposited through DD No.039093 &amp; Rs.1650000/- through RTGS</t>
  </si>
  <si>
    <t xml:space="preserve"> RTGS No.for NPV(IOBAN15273051079, dt-30.09.2015</t>
  </si>
  <si>
    <t>Fund Deposited in Adhoc CAMPA During 2016-17</t>
  </si>
  <si>
    <t>Diversion of 47.4932 ha (24.5438 ha in Darjeeling( T ) Forest Division + 13.2342 ha in Darjeeling Division +9.7152 ha in Kurseong Forest Division ) of Forest Land in favour of Tista Valley Power Transmission Ltd. for Construction od 400 KV D/C Transmission Line</t>
  </si>
  <si>
    <t>5-WBA060/2013- BHU</t>
  </si>
  <si>
    <t xml:space="preserve">Diversion of 16.39 ha of Forest Land in favour of Power Grid Corporation of India Ltd. for Construction of 400 KV Punatsangchu-1 to Alipurduar Transmission Line thru Buxa Tiger Reserve </t>
  </si>
  <si>
    <t>Rs.24,19,948 for planting for Dwarf species</t>
  </si>
  <si>
    <t>Rs.14,35,840 for planting for Dwarf species</t>
  </si>
  <si>
    <t>Diversion of 32.65 ha of Forest land for Sonepur Bazari Project in favour of Eastern Coalfield Ltd.</t>
  </si>
  <si>
    <t>5-WBC063/2013- BHU</t>
  </si>
  <si>
    <t>Diversion of 54.6059 ha (11.772 ha under Kharagpur Forest Division + 42.8339 ha under Jhargram Forest Division ) of Forest Land in favour of National highway Authority of India (NHAI) for upgradation &amp; widening of NH-6, Kharagpur-Chichira section.</t>
  </si>
  <si>
    <t>5-WBA084/2015- BHU</t>
  </si>
  <si>
    <t>Jhargram</t>
  </si>
  <si>
    <t xml:space="preserve">5-WBC092/2016- BHU  </t>
  </si>
  <si>
    <t>Buxa Tiger Reserve(E)</t>
  </si>
  <si>
    <t>Rs.13,11,750 for Afforestation in degreded Forest Land over one &amp; half time the area of Forest land under Safety Zone</t>
  </si>
  <si>
    <t>RTGS No.SBINR52016082433608622. Dt.24.08.2016</t>
  </si>
  <si>
    <t>DD No./RTGS No. &amp; Dt.</t>
  </si>
  <si>
    <t>Paid thru RTGS on 22.12.2016</t>
  </si>
  <si>
    <t>RTGS No.S1073131156-20 of Rs.6,02,35,609 Dt.16.06.2016                      &amp;                                        RTGS No.BARBH16258786168, of RS.24,19,948                             Dt.12.09.2016</t>
  </si>
  <si>
    <t>Paid thru RTGS on 28.09.2016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</si>
</sst>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0.0000"/>
    <numFmt numFmtId="165" formatCode="0.0000_)"/>
    <numFmt numFmtId="166" formatCode="_ * #,##0_ ;_ * \-#,##0_ ;_ * &quot;-&quot;??_ ;_ @_ "/>
  </numFmts>
  <fonts count="26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mbria"/>
      <family val="1"/>
      <scheme val="maj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i/>
      <sz val="12"/>
      <color theme="1"/>
      <name val="Calibri"/>
      <family val="2"/>
      <scheme val="minor"/>
    </font>
    <font>
      <i/>
      <vertAlign val="superscript"/>
      <sz val="10"/>
      <name val="Arial"/>
      <family val="2"/>
    </font>
    <font>
      <i/>
      <sz val="10"/>
      <color theme="9" tint="-0.249977111117893"/>
      <name val="Arial"/>
      <family val="2"/>
    </font>
    <font>
      <b/>
      <i/>
      <sz val="18"/>
      <color theme="1"/>
      <name val="Calibri"/>
      <family val="2"/>
      <scheme val="minor"/>
    </font>
    <font>
      <sz val="12"/>
      <name val="Helv"/>
    </font>
    <font>
      <i/>
      <sz val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2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mbria"/>
      <family val="1"/>
      <scheme val="major"/>
    </font>
    <font>
      <sz val="12"/>
      <color rgb="FFFF000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43" fontId="14" fillId="0" borderId="0" applyFont="0" applyFill="0" applyBorder="0" applyAlignment="0" applyProtection="0"/>
  </cellStyleXfs>
  <cellXfs count="399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Border="1"/>
    <xf numFmtId="0" fontId="3" fillId="0" borderId="1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3" xfId="0" applyFont="1" applyBorder="1"/>
    <xf numFmtId="0" fontId="5" fillId="0" borderId="2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11" fillId="0" borderId="0" xfId="0" applyFont="1" applyBorder="1" applyAlignment="1"/>
    <xf numFmtId="0" fontId="1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0" fillId="0" borderId="16" xfId="0" applyBorder="1" applyAlignment="1">
      <alignment horizontal="justify"/>
    </xf>
    <xf numFmtId="0" fontId="0" fillId="0" borderId="16" xfId="0" applyBorder="1" applyAlignment="1">
      <alignment horizontal="justify" vertical="center"/>
    </xf>
    <xf numFmtId="0" fontId="0" fillId="0" borderId="4" xfId="0" applyBorder="1" applyAlignment="1">
      <alignment horizontal="justify" vertical="center"/>
    </xf>
    <xf numFmtId="0" fontId="0" fillId="0" borderId="0" xfId="0" applyBorder="1" applyAlignment="1">
      <alignment wrapText="1"/>
    </xf>
    <xf numFmtId="0" fontId="15" fillId="0" borderId="2" xfId="0" applyFont="1" applyBorder="1" applyAlignment="1">
      <alignment horizontal="center" vertical="center"/>
    </xf>
    <xf numFmtId="43" fontId="15" fillId="0" borderId="2" xfId="2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/>
    <xf numFmtId="43" fontId="17" fillId="0" borderId="6" xfId="2" applyFont="1" applyBorder="1" applyAlignment="1">
      <alignment horizontal="center" vertical="center"/>
    </xf>
    <xf numFmtId="43" fontId="17" fillId="0" borderId="2" xfId="2" applyFont="1" applyBorder="1" applyAlignment="1">
      <alignment horizontal="center" vertical="center"/>
    </xf>
    <xf numFmtId="43" fontId="17" fillId="0" borderId="15" xfId="2" applyFont="1" applyBorder="1" applyAlignment="1">
      <alignment horizontal="center" vertical="center"/>
    </xf>
    <xf numFmtId="43" fontId="19" fillId="0" borderId="1" xfId="2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3" fontId="15" fillId="0" borderId="14" xfId="2" applyFont="1" applyBorder="1" applyAlignment="1">
      <alignment horizontal="center" vertical="center"/>
    </xf>
    <xf numFmtId="43" fontId="17" fillId="0" borderId="0" xfId="0" applyNumberFormat="1" applyFont="1"/>
    <xf numFmtId="0" fontId="16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3" fontId="17" fillId="0" borderId="0" xfId="2" applyFont="1"/>
    <xf numFmtId="0" fontId="16" fillId="0" borderId="7" xfId="0" applyFont="1" applyBorder="1" applyAlignment="1">
      <alignment horizontal="center" vertical="center" wrapText="1"/>
    </xf>
    <xf numFmtId="43" fontId="15" fillId="0" borderId="6" xfId="2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3" fontId="15" fillId="0" borderId="18" xfId="2" applyFont="1" applyBorder="1" applyAlignment="1">
      <alignment horizontal="center" vertical="center" wrapText="1"/>
    </xf>
    <xf numFmtId="43" fontId="15" fillId="0" borderId="18" xfId="2" applyFont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43" fontId="4" fillId="0" borderId="7" xfId="2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6" xfId="0" applyFont="1" applyBorder="1" applyAlignment="1">
      <alignment vertical="center" wrapText="1"/>
    </xf>
    <xf numFmtId="0" fontId="2" fillId="0" borderId="21" xfId="0" applyFont="1" applyFill="1" applyBorder="1" applyAlignment="1">
      <alignment horizontal="center" vertical="center"/>
    </xf>
    <xf numFmtId="166" fontId="4" fillId="0" borderId="7" xfId="2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2" fillId="0" borderId="2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9" xfId="0" applyBorder="1"/>
    <xf numFmtId="0" fontId="0" fillId="0" borderId="16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65" fontId="6" fillId="0" borderId="1" xfId="1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3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6" fontId="21" fillId="0" borderId="1" xfId="2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0" fillId="0" borderId="18" xfId="0" applyBorder="1"/>
    <xf numFmtId="0" fontId="2" fillId="0" borderId="1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43" fontId="3" fillId="0" borderId="18" xfId="2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0" fontId="0" fillId="0" borderId="4" xfId="0" applyBorder="1"/>
    <xf numFmtId="43" fontId="3" fillId="0" borderId="3" xfId="2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wrapText="1"/>
    </xf>
    <xf numFmtId="0" fontId="0" fillId="0" borderId="10" xfId="0" applyBorder="1"/>
    <xf numFmtId="164" fontId="4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66" fontId="21" fillId="0" borderId="16" xfId="2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5" fontId="6" fillId="0" borderId="2" xfId="1" applyNumberFormat="1" applyFont="1" applyBorder="1" applyAlignment="1" applyProtection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/>
    <xf numFmtId="0" fontId="3" fillId="0" borderId="5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3" fontId="2" fillId="0" borderId="7" xfId="2" applyFont="1" applyBorder="1" applyAlignment="1">
      <alignment horizontal="center" vertical="center"/>
    </xf>
    <xf numFmtId="43" fontId="3" fillId="0" borderId="5" xfId="2" applyFont="1" applyBorder="1" applyAlignment="1">
      <alignment horizontal="center" vertical="center"/>
    </xf>
    <xf numFmtId="43" fontId="3" fillId="0" borderId="9" xfId="2" applyFont="1" applyBorder="1" applyAlignment="1">
      <alignment horizontal="center" vertical="center"/>
    </xf>
    <xf numFmtId="43" fontId="3" fillId="0" borderId="6" xfId="2" applyFont="1" applyBorder="1" applyAlignment="1">
      <alignment horizontal="center" vertical="center"/>
    </xf>
    <xf numFmtId="43" fontId="0" fillId="0" borderId="0" xfId="2" applyFont="1" applyAlignment="1">
      <alignment horizontal="center" vertical="center"/>
    </xf>
    <xf numFmtId="43" fontId="2" fillId="0" borderId="7" xfId="2" applyFont="1" applyFill="1" applyBorder="1" applyAlignment="1">
      <alignment horizontal="center" vertical="center"/>
    </xf>
    <xf numFmtId="43" fontId="3" fillId="0" borderId="2" xfId="2" applyFont="1" applyBorder="1" applyAlignment="1">
      <alignment horizontal="center" vertical="center"/>
    </xf>
    <xf numFmtId="43" fontId="0" fillId="0" borderId="0" xfId="2" applyFont="1"/>
    <xf numFmtId="164" fontId="22" fillId="0" borderId="1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8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3" fontId="3" fillId="0" borderId="4" xfId="2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43" fontId="4" fillId="0" borderId="18" xfId="2" applyFont="1" applyBorder="1" applyAlignment="1">
      <alignment horizontal="center" vertical="center"/>
    </xf>
    <xf numFmtId="43" fontId="4" fillId="0" borderId="2" xfId="2" applyFont="1" applyBorder="1" applyAlignment="1">
      <alignment horizontal="center" vertical="center"/>
    </xf>
    <xf numFmtId="43" fontId="4" fillId="0" borderId="15" xfId="2" applyFont="1" applyBorder="1" applyAlignment="1">
      <alignment horizontal="center" vertical="center"/>
    </xf>
    <xf numFmtId="43" fontId="3" fillId="0" borderId="18" xfId="2" applyFont="1" applyBorder="1" applyAlignment="1">
      <alignment horizontal="center" vertical="center" wrapText="1"/>
    </xf>
    <xf numFmtId="43" fontId="14" fillId="0" borderId="32" xfId="2" applyFont="1" applyBorder="1" applyAlignment="1">
      <alignment horizontal="center" vertical="center"/>
    </xf>
    <xf numFmtId="43" fontId="14" fillId="0" borderId="3" xfId="2" applyFont="1" applyBorder="1" applyAlignment="1">
      <alignment horizontal="center" vertical="center"/>
    </xf>
    <xf numFmtId="43" fontId="14" fillId="0" borderId="18" xfId="2" applyFont="1" applyBorder="1" applyAlignment="1">
      <alignment horizontal="center" vertical="center" wrapText="1"/>
    </xf>
    <xf numFmtId="43" fontId="14" fillId="0" borderId="18" xfId="2" applyFont="1" applyBorder="1" applyAlignment="1">
      <alignment horizontal="center" vertical="center"/>
    </xf>
    <xf numFmtId="43" fontId="14" fillId="0" borderId="33" xfId="2" applyFont="1" applyBorder="1" applyAlignment="1">
      <alignment horizontal="center" vertical="center"/>
    </xf>
    <xf numFmtId="43" fontId="14" fillId="0" borderId="10" xfId="2" applyFont="1" applyBorder="1" applyAlignment="1">
      <alignment horizontal="center" vertical="center"/>
    </xf>
    <xf numFmtId="43" fontId="22" fillId="0" borderId="7" xfId="2" applyFont="1" applyBorder="1" applyAlignment="1">
      <alignment horizontal="center" vertical="center"/>
    </xf>
    <xf numFmtId="43" fontId="22" fillId="0" borderId="34" xfId="2" applyFont="1" applyBorder="1" applyAlignment="1">
      <alignment horizontal="center" vertical="center"/>
    </xf>
    <xf numFmtId="43" fontId="22" fillId="0" borderId="1" xfId="2" applyFont="1" applyBorder="1" applyAlignment="1">
      <alignment horizontal="center" vertical="center"/>
    </xf>
    <xf numFmtId="43" fontId="14" fillId="0" borderId="13" xfId="2" applyFont="1" applyBorder="1" applyAlignment="1">
      <alignment horizontal="center" vertical="center"/>
    </xf>
    <xf numFmtId="164" fontId="22" fillId="0" borderId="16" xfId="0" applyNumberFormat="1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0" fillId="0" borderId="3" xfId="0" applyBorder="1"/>
    <xf numFmtId="0" fontId="22" fillId="0" borderId="11" xfId="0" applyFont="1" applyBorder="1" applyAlignment="1">
      <alignment vertical="center"/>
    </xf>
    <xf numFmtId="164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43" fontId="2" fillId="0" borderId="7" xfId="2" applyFont="1" applyBorder="1" applyAlignment="1">
      <alignment horizontal="center" vertical="center" wrapText="1"/>
    </xf>
    <xf numFmtId="43" fontId="4" fillId="0" borderId="6" xfId="2" applyFont="1" applyBorder="1" applyAlignment="1">
      <alignment horizontal="center" vertical="center"/>
    </xf>
    <xf numFmtId="43" fontId="4" fillId="0" borderId="16" xfId="2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center" vertical="center" wrapText="1"/>
    </xf>
    <xf numFmtId="166" fontId="21" fillId="0" borderId="3" xfId="2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6" fontId="21" fillId="0" borderId="5" xfId="2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43" fontId="2" fillId="0" borderId="1" xfId="2" applyFont="1" applyBorder="1" applyAlignment="1">
      <alignment horizontal="center" vertical="center"/>
    </xf>
    <xf numFmtId="43" fontId="21" fillId="0" borderId="5" xfId="2" applyFont="1" applyBorder="1" applyAlignment="1">
      <alignment horizontal="center" vertical="center"/>
    </xf>
    <xf numFmtId="43" fontId="21" fillId="0" borderId="4" xfId="2" applyFont="1" applyBorder="1" applyAlignment="1">
      <alignment horizontal="center" vertical="center"/>
    </xf>
    <xf numFmtId="43" fontId="21" fillId="0" borderId="16" xfId="2" applyFont="1" applyBorder="1" applyAlignment="1">
      <alignment horizontal="center" vertical="center"/>
    </xf>
    <xf numFmtId="43" fontId="8" fillId="0" borderId="1" xfId="2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3" fillId="0" borderId="5" xfId="0" applyFont="1" applyBorder="1"/>
    <xf numFmtId="0" fontId="6" fillId="0" borderId="5" xfId="0" applyFont="1" applyBorder="1" applyAlignment="1">
      <alignment horizontal="center" vertical="center"/>
    </xf>
    <xf numFmtId="165" fontId="6" fillId="0" borderId="5" xfId="1" applyNumberFormat="1" applyFont="1" applyBorder="1" applyAlignment="1" applyProtection="1">
      <alignment horizontal="center" vertical="center" wrapText="1"/>
    </xf>
    <xf numFmtId="43" fontId="3" fillId="0" borderId="14" xfId="2" applyFont="1" applyBorder="1" applyAlignment="1">
      <alignment horizontal="center" vertical="center"/>
    </xf>
    <xf numFmtId="43" fontId="8" fillId="0" borderId="7" xfId="2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/>
    </xf>
    <xf numFmtId="165" fontId="6" fillId="0" borderId="9" xfId="1" applyNumberFormat="1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5" fontId="6" fillId="0" borderId="6" xfId="1" applyNumberFormat="1" applyFont="1" applyBorder="1" applyAlignment="1" applyProtection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43" fontId="3" fillId="0" borderId="18" xfId="2" applyFont="1" applyBorder="1" applyAlignment="1">
      <alignment horizontal="center" vertical="center"/>
    </xf>
    <xf numFmtId="43" fontId="3" fillId="0" borderId="2" xfId="2" applyFont="1" applyBorder="1" applyAlignment="1">
      <alignment horizontal="center" vertical="center"/>
    </xf>
    <xf numFmtId="43" fontId="3" fillId="0" borderId="6" xfId="2" applyFont="1" applyBorder="1" applyAlignment="1">
      <alignment horizontal="center" vertical="center"/>
    </xf>
    <xf numFmtId="0" fontId="0" fillId="0" borderId="23" xfId="0" applyBorder="1" applyAlignment="1">
      <alignment horizont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23" fillId="0" borderId="7" xfId="0" applyNumberFormat="1" applyFont="1" applyBorder="1" applyAlignment="1">
      <alignment horizontal="center" vertical="center"/>
    </xf>
    <xf numFmtId="0" fontId="0" fillId="0" borderId="0" xfId="0" applyFont="1"/>
    <xf numFmtId="43" fontId="3" fillId="0" borderId="3" xfId="2" applyFont="1" applyBorder="1" applyAlignment="1">
      <alignment vertical="center"/>
    </xf>
    <xf numFmtId="43" fontId="3" fillId="0" borderId="5" xfId="2" applyFont="1" applyBorder="1" applyAlignment="1">
      <alignment vertical="center"/>
    </xf>
    <xf numFmtId="43" fontId="3" fillId="0" borderId="4" xfId="2" applyFont="1" applyBorder="1" applyAlignment="1">
      <alignment vertical="center"/>
    </xf>
    <xf numFmtId="43" fontId="23" fillId="0" borderId="7" xfId="2" applyFont="1" applyBorder="1" applyAlignment="1">
      <alignment horizontal="center" vertical="center"/>
    </xf>
    <xf numFmtId="0" fontId="0" fillId="0" borderId="1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43" fontId="4" fillId="0" borderId="3" xfId="2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3" fontId="21" fillId="0" borderId="5" xfId="2" applyFont="1" applyBorder="1" applyAlignment="1">
      <alignment horizontal="center" vertical="center" wrapText="1"/>
    </xf>
    <xf numFmtId="166" fontId="21" fillId="0" borderId="5" xfId="2" applyNumberFormat="1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166" fontId="3" fillId="0" borderId="5" xfId="2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3" fontId="3" fillId="0" borderId="7" xfId="2" applyFont="1" applyBorder="1" applyAlignment="1">
      <alignment horizontal="center" vertical="center"/>
    </xf>
    <xf numFmtId="43" fontId="3" fillId="0" borderId="1" xfId="2" applyFont="1" applyBorder="1" applyAlignment="1">
      <alignment vertical="center"/>
    </xf>
    <xf numFmtId="0" fontId="0" fillId="0" borderId="34" xfId="0" applyBorder="1" applyAlignment="1">
      <alignment horizontal="center" vertical="center" wrapText="1"/>
    </xf>
    <xf numFmtId="43" fontId="0" fillId="0" borderId="7" xfId="2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6" fontId="20" fillId="0" borderId="22" xfId="2" applyNumberFormat="1" applyFont="1" applyBorder="1" applyAlignment="1">
      <alignment horizontal="center" vertical="center"/>
    </xf>
    <xf numFmtId="166" fontId="20" fillId="0" borderId="24" xfId="2" applyNumberFormat="1" applyFont="1" applyBorder="1" applyAlignment="1">
      <alignment horizontal="center" vertical="center"/>
    </xf>
    <xf numFmtId="166" fontId="20" fillId="0" borderId="21" xfId="2" applyNumberFormat="1" applyFont="1" applyBorder="1" applyAlignment="1">
      <alignment horizontal="center" vertical="center"/>
    </xf>
    <xf numFmtId="166" fontId="20" fillId="0" borderId="30" xfId="2" applyNumberFormat="1" applyFont="1" applyBorder="1" applyAlignment="1">
      <alignment horizontal="center" vertical="center"/>
    </xf>
    <xf numFmtId="166" fontId="20" fillId="0" borderId="8" xfId="2" applyNumberFormat="1" applyFont="1" applyBorder="1" applyAlignment="1">
      <alignment horizontal="center" vertical="center"/>
    </xf>
    <xf numFmtId="166" fontId="20" fillId="0" borderId="15" xfId="2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3" fontId="3" fillId="0" borderId="9" xfId="2" applyFont="1" applyBorder="1" applyAlignment="1">
      <alignment horizontal="center" vertical="center"/>
    </xf>
    <xf numFmtId="43" fontId="3" fillId="0" borderId="5" xfId="2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43" fontId="3" fillId="0" borderId="10" xfId="2" applyFont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43" fontId="4" fillId="0" borderId="9" xfId="2" applyFont="1" applyBorder="1" applyAlignment="1">
      <alignment horizontal="center" vertical="center"/>
    </xf>
    <xf numFmtId="43" fontId="4" fillId="0" borderId="10" xfId="2" applyFont="1" applyBorder="1" applyAlignment="1">
      <alignment horizontal="center" vertical="center"/>
    </xf>
    <xf numFmtId="43" fontId="4" fillId="0" borderId="16" xfId="2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3" fontId="21" fillId="0" borderId="20" xfId="2" applyFont="1" applyBorder="1" applyAlignment="1">
      <alignment horizontal="center" vertical="center"/>
    </xf>
    <xf numFmtId="43" fontId="21" fillId="0" borderId="5" xfId="2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165" fontId="6" fillId="0" borderId="9" xfId="1" applyNumberFormat="1" applyFont="1" applyBorder="1" applyAlignment="1" applyProtection="1">
      <alignment horizontal="center" wrapText="1"/>
    </xf>
    <xf numFmtId="165" fontId="6" fillId="0" borderId="5" xfId="1" applyNumberFormat="1" applyFont="1" applyBorder="1" applyAlignment="1" applyProtection="1">
      <alignment horizont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66" fontId="20" fillId="0" borderId="19" xfId="2" applyNumberFormat="1" applyFont="1" applyBorder="1" applyAlignment="1">
      <alignment horizontal="center" vertical="center"/>
    </xf>
    <xf numFmtId="166" fontId="20" fillId="0" borderId="0" xfId="2" applyNumberFormat="1" applyFont="1" applyBorder="1" applyAlignment="1">
      <alignment horizontal="center" vertical="center"/>
    </xf>
    <xf numFmtId="166" fontId="20" fillId="0" borderId="14" xfId="2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43" fontId="3" fillId="0" borderId="18" xfId="2" applyFont="1" applyBorder="1" applyAlignment="1">
      <alignment horizontal="center" vertical="center"/>
    </xf>
    <xf numFmtId="43" fontId="3" fillId="0" borderId="2" xfId="2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6" fillId="0" borderId="6" xfId="1" applyNumberFormat="1" applyFont="1" applyBorder="1" applyAlignment="1" applyProtection="1">
      <alignment horizontal="center" vertical="center" wrapText="1"/>
    </xf>
    <xf numFmtId="165" fontId="6" fillId="0" borderId="2" xfId="1" applyNumberFormat="1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3" fontId="3" fillId="0" borderId="6" xfId="2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3" fontId="3" fillId="0" borderId="21" xfId="2" applyFont="1" applyBorder="1" applyAlignment="1">
      <alignment horizontal="center" vertical="center"/>
    </xf>
    <xf numFmtId="43" fontId="3" fillId="0" borderId="20" xfId="2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43" fontId="3" fillId="0" borderId="16" xfId="2" applyFont="1" applyBorder="1" applyAlignment="1">
      <alignment horizontal="center" vertical="center"/>
    </xf>
    <xf numFmtId="43" fontId="3" fillId="0" borderId="14" xfId="2" applyFont="1" applyBorder="1" applyAlignment="1">
      <alignment horizontal="center" vertical="center"/>
    </xf>
    <xf numFmtId="43" fontId="3" fillId="0" borderId="15" xfId="2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43" fontId="0" fillId="0" borderId="14" xfId="2" applyFont="1" applyBorder="1" applyAlignment="1">
      <alignment horizontal="center" vertical="center" wrapText="1"/>
    </xf>
    <xf numFmtId="43" fontId="0" fillId="0" borderId="15" xfId="2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22" fillId="0" borderId="3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164" fontId="0" fillId="0" borderId="21" xfId="0" applyNumberFormat="1" applyBorder="1" applyAlignment="1">
      <alignment horizontal="center" vertical="center" wrapText="1"/>
    </xf>
    <xf numFmtId="0" fontId="18" fillId="0" borderId="8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43" fontId="24" fillId="0" borderId="6" xfId="2" applyFont="1" applyBorder="1" applyAlignment="1">
      <alignment horizontal="center" vertical="center"/>
    </xf>
    <xf numFmtId="43" fontId="25" fillId="0" borderId="18" xfId="2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17"/>
  <sheetViews>
    <sheetView zoomScaleNormal="100" workbookViewId="0">
      <selection activeCell="H13" sqref="H13"/>
    </sheetView>
  </sheetViews>
  <sheetFormatPr defaultRowHeight="15"/>
  <cols>
    <col min="1" max="1" width="5" customWidth="1"/>
    <col min="2" max="2" width="10.5703125" bestFit="1" customWidth="1"/>
    <col min="3" max="3" width="17" bestFit="1" customWidth="1"/>
    <col min="4" max="4" width="13.85546875" customWidth="1"/>
    <col min="5" max="5" width="14.42578125" customWidth="1"/>
    <col min="6" max="6" width="14.7109375" customWidth="1"/>
    <col min="7" max="7" width="9.7109375" customWidth="1"/>
    <col min="8" max="8" width="10.140625" customWidth="1"/>
    <col min="9" max="9" width="14.85546875" bestFit="1" customWidth="1"/>
    <col min="10" max="10" width="10.85546875" customWidth="1"/>
    <col min="11" max="11" width="10.28515625" customWidth="1"/>
    <col min="12" max="12" width="12.5703125" style="1" customWidth="1"/>
    <col min="13" max="13" width="12.85546875" customWidth="1"/>
    <col min="14" max="14" width="11.140625" customWidth="1"/>
  </cols>
  <sheetData>
    <row r="2" spans="2:14" ht="19.5" thickBot="1">
      <c r="B2" s="288" t="s">
        <v>219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2:14" ht="63.75" thickBot="1">
      <c r="B3" s="2" t="s">
        <v>1</v>
      </c>
      <c r="C3" s="4" t="s">
        <v>223</v>
      </c>
      <c r="D3" s="75" t="s">
        <v>225</v>
      </c>
      <c r="E3" s="75" t="s">
        <v>224</v>
      </c>
      <c r="F3" s="69" t="s">
        <v>3</v>
      </c>
      <c r="G3" s="69" t="s">
        <v>4</v>
      </c>
      <c r="H3" s="25" t="s">
        <v>5</v>
      </c>
      <c r="I3" s="54" t="s">
        <v>6</v>
      </c>
      <c r="J3" s="54" t="s">
        <v>184</v>
      </c>
      <c r="K3" s="25" t="s">
        <v>7</v>
      </c>
      <c r="L3" s="3" t="s">
        <v>8</v>
      </c>
      <c r="M3" s="4" t="s">
        <v>9</v>
      </c>
      <c r="N3" s="4" t="s">
        <v>80</v>
      </c>
    </row>
    <row r="4" spans="2:14" ht="47.25" customHeight="1">
      <c r="B4" s="65" t="s">
        <v>20</v>
      </c>
      <c r="C4" s="72" t="s">
        <v>218</v>
      </c>
      <c r="D4" s="12" t="s">
        <v>303</v>
      </c>
      <c r="E4" s="247">
        <v>1</v>
      </c>
      <c r="F4" s="248">
        <v>580000</v>
      </c>
      <c r="G4" s="173">
        <v>0</v>
      </c>
      <c r="H4" s="173">
        <f t="shared" ref="H4:K4" si="0">SUM(H2:H3)</f>
        <v>0</v>
      </c>
      <c r="I4" s="173">
        <f t="shared" si="0"/>
        <v>0</v>
      </c>
      <c r="J4" s="173">
        <f t="shared" si="0"/>
        <v>0</v>
      </c>
      <c r="K4" s="173">
        <f t="shared" si="0"/>
        <v>0</v>
      </c>
      <c r="L4" s="173">
        <f>SUM(F4:K4)</f>
        <v>580000</v>
      </c>
      <c r="M4" s="12"/>
      <c r="N4" s="107"/>
    </row>
    <row r="5" spans="2:14" ht="63.75" customHeight="1" thickBot="1">
      <c r="B5" s="67" t="s">
        <v>15</v>
      </c>
      <c r="C5" s="68" t="s">
        <v>227</v>
      </c>
      <c r="D5" s="164" t="s">
        <v>304</v>
      </c>
      <c r="E5" s="246">
        <v>9.07</v>
      </c>
      <c r="F5" s="195">
        <v>5260600</v>
      </c>
      <c r="G5" s="175">
        <f t="shared" ref="G5:K5" si="1">SUM(G3:G4)</f>
        <v>0</v>
      </c>
      <c r="H5" s="175">
        <f t="shared" si="1"/>
        <v>0</v>
      </c>
      <c r="I5" s="175">
        <f t="shared" si="1"/>
        <v>0</v>
      </c>
      <c r="J5" s="175">
        <f t="shared" si="1"/>
        <v>0</v>
      </c>
      <c r="K5" s="175">
        <f t="shared" si="1"/>
        <v>0</v>
      </c>
      <c r="L5" s="175">
        <f>SUM(F5:K5)</f>
        <v>5260600</v>
      </c>
      <c r="M5" s="74"/>
      <c r="N5" s="79"/>
    </row>
    <row r="6" spans="2:14" ht="28.5" customHeight="1" thickBot="1">
      <c r="B6" s="289" t="s">
        <v>10</v>
      </c>
      <c r="C6" s="290"/>
      <c r="D6" s="291"/>
      <c r="E6" s="249">
        <f t="shared" ref="E6:J6" si="2">SUM(E4:E5)</f>
        <v>10.07</v>
      </c>
      <c r="F6" s="175">
        <f t="shared" si="2"/>
        <v>5840600</v>
      </c>
      <c r="G6" s="64">
        <f t="shared" si="2"/>
        <v>0</v>
      </c>
      <c r="H6" s="64">
        <f t="shared" si="2"/>
        <v>0</v>
      </c>
      <c r="I6" s="64">
        <f t="shared" si="2"/>
        <v>0</v>
      </c>
      <c r="J6" s="64">
        <f t="shared" si="2"/>
        <v>0</v>
      </c>
      <c r="K6" s="64">
        <f t="shared" ref="K6" si="3">SUM(K4:K5)</f>
        <v>0</v>
      </c>
      <c r="L6" s="175">
        <f>SUM(L4:L5)</f>
        <v>5840600</v>
      </c>
      <c r="M6" s="66"/>
      <c r="N6" s="14"/>
    </row>
    <row r="7" spans="2:14">
      <c r="F7" t="s">
        <v>201</v>
      </c>
    </row>
    <row r="9" spans="2:14">
      <c r="N9" t="s">
        <v>206</v>
      </c>
    </row>
    <row r="10" spans="2:14">
      <c r="G10" t="s">
        <v>214</v>
      </c>
      <c r="H10" t="s">
        <v>203</v>
      </c>
    </row>
    <row r="11" spans="2:14">
      <c r="F11" t="s">
        <v>202</v>
      </c>
      <c r="H11" t="s">
        <v>207</v>
      </c>
      <c r="K11" t="s">
        <v>204</v>
      </c>
      <c r="M11" t="s">
        <v>210</v>
      </c>
    </row>
    <row r="12" spans="2:14">
      <c r="H12" t="s">
        <v>215</v>
      </c>
    </row>
    <row r="13" spans="2:14">
      <c r="G13" t="s">
        <v>216</v>
      </c>
      <c r="H13" t="s">
        <v>209</v>
      </c>
      <c r="M13" t="s">
        <v>211</v>
      </c>
    </row>
    <row r="14" spans="2:14">
      <c r="K14" t="s">
        <v>213</v>
      </c>
      <c r="M14" t="s">
        <v>205</v>
      </c>
    </row>
    <row r="15" spans="2:14">
      <c r="I15" t="s">
        <v>208</v>
      </c>
    </row>
    <row r="17" spans="13:13">
      <c r="M17" t="s">
        <v>212</v>
      </c>
    </row>
  </sheetData>
  <mergeCells count="2">
    <mergeCell ref="B2:N2"/>
    <mergeCell ref="B6:D6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C2:P37"/>
  <sheetViews>
    <sheetView topLeftCell="H1" zoomScaleNormal="100" workbookViewId="0">
      <selection activeCell="S5" sqref="S5"/>
    </sheetView>
  </sheetViews>
  <sheetFormatPr defaultRowHeight="15"/>
  <cols>
    <col min="1" max="1" width="2" customWidth="1"/>
    <col min="2" max="2" width="2.7109375" customWidth="1"/>
    <col min="3" max="3" width="14.85546875" customWidth="1"/>
    <col min="4" max="4" width="27" customWidth="1"/>
    <col min="5" max="5" width="15.7109375" customWidth="1"/>
    <col min="6" max="6" width="14.42578125" customWidth="1"/>
    <col min="7" max="8" width="16.85546875" style="155" bestFit="1" customWidth="1"/>
    <col min="9" max="9" width="10.140625" style="155" customWidth="1"/>
    <col min="10" max="10" width="10.85546875" style="155" customWidth="1"/>
    <col min="11" max="11" width="8.5703125" style="155" customWidth="1"/>
    <col min="12" max="12" width="16.140625" style="155" bestFit="1" customWidth="1"/>
    <col min="13" max="13" width="16.85546875" style="152" bestFit="1" customWidth="1"/>
    <col min="14" max="14" width="14" hidden="1" customWidth="1"/>
    <col min="15" max="15" width="17.5703125" customWidth="1"/>
    <col min="16" max="16" width="15.85546875" customWidth="1"/>
  </cols>
  <sheetData>
    <row r="2" spans="3:16" ht="19.5" thickBot="1">
      <c r="C2" s="288" t="s">
        <v>82</v>
      </c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3:16" ht="63.75" thickBot="1">
      <c r="C3" s="2" t="s">
        <v>1</v>
      </c>
      <c r="D3" s="3" t="s">
        <v>2</v>
      </c>
      <c r="E3" s="82" t="s">
        <v>225</v>
      </c>
      <c r="F3" s="75" t="s">
        <v>224</v>
      </c>
      <c r="G3" s="148" t="s">
        <v>3</v>
      </c>
      <c r="H3" s="148" t="s">
        <v>4</v>
      </c>
      <c r="I3" s="148" t="s">
        <v>5</v>
      </c>
      <c r="J3" s="148" t="s">
        <v>6</v>
      </c>
      <c r="K3" s="193" t="s">
        <v>184</v>
      </c>
      <c r="L3" s="148" t="s">
        <v>7</v>
      </c>
      <c r="M3" s="148" t="s">
        <v>8</v>
      </c>
      <c r="N3" s="4" t="s">
        <v>9</v>
      </c>
      <c r="O3" s="4" t="s">
        <v>339</v>
      </c>
      <c r="P3" s="20" t="s">
        <v>80</v>
      </c>
    </row>
    <row r="4" spans="3:16" ht="55.5" customHeight="1">
      <c r="C4" s="12" t="s">
        <v>83</v>
      </c>
      <c r="D4" s="109" t="s">
        <v>84</v>
      </c>
      <c r="E4" s="12" t="s">
        <v>268</v>
      </c>
      <c r="F4" s="106">
        <v>3.96</v>
      </c>
      <c r="G4" s="113">
        <f>2890800</f>
        <v>2890800</v>
      </c>
      <c r="H4" s="110">
        <f>1368418</f>
        <v>1368418</v>
      </c>
      <c r="I4" s="113">
        <v>0</v>
      </c>
      <c r="J4" s="110">
        <v>0</v>
      </c>
      <c r="K4" s="110">
        <v>0</v>
      </c>
      <c r="L4" s="149">
        <v>0</v>
      </c>
      <c r="M4" s="110">
        <f>SUM(G4:L4)</f>
        <v>4259218</v>
      </c>
      <c r="N4" s="263"/>
      <c r="O4" s="275" t="s">
        <v>319</v>
      </c>
      <c r="P4" s="22"/>
    </row>
    <row r="5" spans="3:16" ht="48" customHeight="1">
      <c r="C5" s="126" t="s">
        <v>20</v>
      </c>
      <c r="D5" s="130" t="s">
        <v>85</v>
      </c>
      <c r="E5" s="160" t="s">
        <v>269</v>
      </c>
      <c r="F5" s="147">
        <v>7.5949999999999998</v>
      </c>
      <c r="G5" s="149">
        <f>7921585</f>
        <v>7921585</v>
      </c>
      <c r="H5" s="149">
        <f>7230000</f>
        <v>7230000</v>
      </c>
      <c r="I5" s="149">
        <v>0</v>
      </c>
      <c r="J5" s="149">
        <v>0</v>
      </c>
      <c r="K5" s="149">
        <v>0</v>
      </c>
      <c r="L5" s="149">
        <v>0</v>
      </c>
      <c r="M5" s="151">
        <f>SUM(G5:L5)</f>
        <v>15151585</v>
      </c>
      <c r="N5" s="124" t="s">
        <v>175</v>
      </c>
      <c r="O5" s="275" t="s">
        <v>319</v>
      </c>
      <c r="P5" s="211"/>
    </row>
    <row r="6" spans="3:16" ht="47.25" customHeight="1">
      <c r="C6" s="126" t="s">
        <v>16</v>
      </c>
      <c r="D6" s="132" t="s">
        <v>86</v>
      </c>
      <c r="E6" s="223" t="s">
        <v>297</v>
      </c>
      <c r="F6" s="147">
        <v>5.1120000000000001</v>
      </c>
      <c r="G6" s="149">
        <v>0</v>
      </c>
      <c r="H6" s="149">
        <v>0</v>
      </c>
      <c r="I6" s="149">
        <v>0</v>
      </c>
      <c r="J6" s="149">
        <v>0</v>
      </c>
      <c r="K6" s="149">
        <v>0</v>
      </c>
      <c r="L6" s="149">
        <v>0</v>
      </c>
      <c r="M6" s="151">
        <f t="shared" ref="M6:M7" si="0">SUM(G6:L6)</f>
        <v>0</v>
      </c>
      <c r="N6" s="134"/>
      <c r="O6" s="259"/>
      <c r="P6" s="213" t="s">
        <v>78</v>
      </c>
    </row>
    <row r="7" spans="3:16" ht="51" customHeight="1">
      <c r="C7" s="126" t="s">
        <v>20</v>
      </c>
      <c r="D7" s="132" t="s">
        <v>87</v>
      </c>
      <c r="E7" s="162" t="s">
        <v>270</v>
      </c>
      <c r="F7" s="147">
        <v>4.9649999999999999</v>
      </c>
      <c r="G7" s="149">
        <f>4662135</f>
        <v>4662135</v>
      </c>
      <c r="H7" s="149">
        <f>3100000</f>
        <v>3100000</v>
      </c>
      <c r="I7" s="149">
        <v>0</v>
      </c>
      <c r="J7" s="149">
        <v>0</v>
      </c>
      <c r="K7" s="149">
        <v>0</v>
      </c>
      <c r="L7" s="149">
        <v>0</v>
      </c>
      <c r="M7" s="151">
        <f t="shared" si="0"/>
        <v>7762135</v>
      </c>
      <c r="N7" s="134"/>
      <c r="O7" s="259"/>
      <c r="P7" s="213" t="s">
        <v>131</v>
      </c>
    </row>
    <row r="8" spans="3:16" ht="45.75" customHeight="1">
      <c r="C8" s="133" t="s">
        <v>88</v>
      </c>
      <c r="D8" s="340" t="s">
        <v>89</v>
      </c>
      <c r="E8" s="344" t="s">
        <v>271</v>
      </c>
      <c r="F8" s="319">
        <v>2.3959999999999999</v>
      </c>
      <c r="G8" s="303">
        <v>1499896</v>
      </c>
      <c r="H8" s="303">
        <v>514174</v>
      </c>
      <c r="I8" s="303">
        <v>0</v>
      </c>
      <c r="J8" s="303">
        <v>0</v>
      </c>
      <c r="K8" s="303">
        <v>0</v>
      </c>
      <c r="L8" s="303">
        <v>0</v>
      </c>
      <c r="M8" s="303">
        <f>SUM(G8:L9)</f>
        <v>2014070</v>
      </c>
      <c r="N8" s="342"/>
      <c r="O8" s="305" t="s">
        <v>320</v>
      </c>
      <c r="P8" s="333"/>
    </row>
    <row r="9" spans="3:16" ht="19.5" customHeight="1">
      <c r="C9" s="137" t="s">
        <v>15</v>
      </c>
      <c r="D9" s="341"/>
      <c r="E9" s="316"/>
      <c r="F9" s="310"/>
      <c r="G9" s="304"/>
      <c r="H9" s="304"/>
      <c r="I9" s="304"/>
      <c r="J9" s="304"/>
      <c r="K9" s="304"/>
      <c r="L9" s="304"/>
      <c r="M9" s="304"/>
      <c r="N9" s="343"/>
      <c r="O9" s="302"/>
      <c r="P9" s="334"/>
    </row>
    <row r="10" spans="3:16" ht="48.75" customHeight="1">
      <c r="C10" s="212" t="s">
        <v>90</v>
      </c>
      <c r="D10" s="132" t="s">
        <v>91</v>
      </c>
      <c r="E10" s="223" t="s">
        <v>272</v>
      </c>
      <c r="F10" s="147">
        <v>4.03</v>
      </c>
      <c r="G10" s="149">
        <f>3236090</f>
        <v>3236090</v>
      </c>
      <c r="H10" s="151">
        <f>218829</f>
        <v>218829</v>
      </c>
      <c r="I10" s="149">
        <v>0</v>
      </c>
      <c r="J10" s="151">
        <v>0</v>
      </c>
      <c r="K10" s="151">
        <v>0</v>
      </c>
      <c r="L10" s="151">
        <v>0</v>
      </c>
      <c r="M10" s="151">
        <f t="shared" ref="M10:M15" si="1">SUM(G10:L10)</f>
        <v>3454919</v>
      </c>
      <c r="N10" s="124" t="s">
        <v>176</v>
      </c>
      <c r="O10" s="7"/>
      <c r="P10" s="133" t="s">
        <v>81</v>
      </c>
    </row>
    <row r="11" spans="3:16" ht="47.25" customHeight="1">
      <c r="C11" s="126" t="s">
        <v>16</v>
      </c>
      <c r="D11" s="130" t="s">
        <v>92</v>
      </c>
      <c r="E11" s="162" t="s">
        <v>273</v>
      </c>
      <c r="F11" s="147">
        <v>8.3879000000000001</v>
      </c>
      <c r="G11" s="149">
        <v>8748580</v>
      </c>
      <c r="H11" s="151">
        <v>3179000</v>
      </c>
      <c r="I11" s="149">
        <v>0</v>
      </c>
      <c r="J11" s="151">
        <v>0</v>
      </c>
      <c r="K11" s="151">
        <v>0</v>
      </c>
      <c r="L11" s="151">
        <v>3452000</v>
      </c>
      <c r="M11" s="151">
        <f t="shared" si="1"/>
        <v>15379580</v>
      </c>
      <c r="N11" s="305" t="s">
        <v>177</v>
      </c>
      <c r="O11" s="256" t="s">
        <v>320</v>
      </c>
      <c r="P11" s="211"/>
    </row>
    <row r="12" spans="3:16" ht="54.75" customHeight="1">
      <c r="C12" s="126" t="s">
        <v>40</v>
      </c>
      <c r="D12" s="130" t="s">
        <v>93</v>
      </c>
      <c r="E12" s="162" t="s">
        <v>274</v>
      </c>
      <c r="F12" s="147">
        <v>5.6805000000000003</v>
      </c>
      <c r="G12" s="149">
        <v>5333990</v>
      </c>
      <c r="H12" s="151">
        <v>4407239</v>
      </c>
      <c r="I12" s="149">
        <v>0</v>
      </c>
      <c r="J12" s="151">
        <v>0</v>
      </c>
      <c r="K12" s="151">
        <v>0</v>
      </c>
      <c r="L12" s="151">
        <v>0</v>
      </c>
      <c r="M12" s="151">
        <f t="shared" si="1"/>
        <v>9741229</v>
      </c>
      <c r="N12" s="302"/>
      <c r="O12" s="256" t="s">
        <v>320</v>
      </c>
      <c r="P12" s="211"/>
    </row>
    <row r="13" spans="3:16" ht="60">
      <c r="C13" s="199" t="s">
        <v>60</v>
      </c>
      <c r="D13" s="210" t="s">
        <v>94</v>
      </c>
      <c r="E13" s="161" t="s">
        <v>275</v>
      </c>
      <c r="F13" s="147">
        <v>0.78900000000000003</v>
      </c>
      <c r="G13" s="149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0</v>
      </c>
      <c r="M13" s="151">
        <f t="shared" si="1"/>
        <v>0</v>
      </c>
      <c r="N13" s="18"/>
      <c r="O13" s="261"/>
      <c r="P13" s="276" t="s">
        <v>95</v>
      </c>
    </row>
    <row r="14" spans="3:16" ht="45">
      <c r="C14" s="209" t="s">
        <v>16</v>
      </c>
      <c r="D14" s="196" t="s">
        <v>96</v>
      </c>
      <c r="E14" s="243" t="s">
        <v>276</v>
      </c>
      <c r="F14" s="111">
        <v>1</v>
      </c>
      <c r="G14" s="149">
        <v>1043000</v>
      </c>
      <c r="H14" s="151">
        <v>130000</v>
      </c>
      <c r="I14" s="151">
        <v>0</v>
      </c>
      <c r="J14" s="151">
        <v>0</v>
      </c>
      <c r="K14" s="151">
        <v>0</v>
      </c>
      <c r="L14" s="151">
        <v>0</v>
      </c>
      <c r="M14" s="151">
        <f t="shared" si="1"/>
        <v>1173000</v>
      </c>
      <c r="N14" s="335" t="s">
        <v>178</v>
      </c>
      <c r="O14" s="335" t="s">
        <v>178</v>
      </c>
      <c r="P14" s="199"/>
    </row>
    <row r="15" spans="3:16" ht="52.5" customHeight="1">
      <c r="C15" s="21" t="s">
        <v>16</v>
      </c>
      <c r="D15" s="10" t="s">
        <v>97</v>
      </c>
      <c r="E15" s="161" t="s">
        <v>276</v>
      </c>
      <c r="F15" s="147">
        <v>1</v>
      </c>
      <c r="G15" s="170">
        <v>1043000</v>
      </c>
      <c r="H15" s="154">
        <v>130000</v>
      </c>
      <c r="I15" s="154">
        <v>0</v>
      </c>
      <c r="J15" s="154">
        <v>0</v>
      </c>
      <c r="K15" s="154">
        <v>0</v>
      </c>
      <c r="L15" s="154">
        <v>0</v>
      </c>
      <c r="M15" s="154">
        <f t="shared" si="1"/>
        <v>1173000</v>
      </c>
      <c r="N15" s="336"/>
      <c r="O15" s="336"/>
      <c r="P15" s="11"/>
    </row>
    <row r="16" spans="3:16" ht="60">
      <c r="C16" s="199" t="s">
        <v>98</v>
      </c>
      <c r="D16" s="23" t="s">
        <v>99</v>
      </c>
      <c r="E16" s="161" t="s">
        <v>277</v>
      </c>
      <c r="F16" s="147">
        <v>0.81</v>
      </c>
      <c r="G16" s="149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8"/>
      <c r="O16" s="274"/>
      <c r="P16" s="199" t="s">
        <v>78</v>
      </c>
    </row>
    <row r="17" spans="3:16" ht="90.75" customHeight="1" thickBot="1">
      <c r="C17" s="24" t="s">
        <v>50</v>
      </c>
      <c r="D17" s="23" t="s">
        <v>100</v>
      </c>
      <c r="E17" s="233" t="s">
        <v>278</v>
      </c>
      <c r="F17" s="127">
        <v>0.85399999999999998</v>
      </c>
      <c r="G17" s="150">
        <v>534604</v>
      </c>
      <c r="H17" s="214">
        <v>163036</v>
      </c>
      <c r="I17" s="214">
        <v>0</v>
      </c>
      <c r="J17" s="214">
        <v>0</v>
      </c>
      <c r="K17" s="214">
        <v>0</v>
      </c>
      <c r="L17" s="214">
        <v>0</v>
      </c>
      <c r="M17" s="214">
        <f>SUM(G17:L17)</f>
        <v>697640</v>
      </c>
      <c r="N17" s="208" t="s">
        <v>179</v>
      </c>
      <c r="O17" s="208" t="s">
        <v>179</v>
      </c>
      <c r="P17" s="24" t="s">
        <v>81</v>
      </c>
    </row>
    <row r="18" spans="3:16" ht="30.75" customHeight="1" thickBot="1">
      <c r="C18" s="289" t="s">
        <v>10</v>
      </c>
      <c r="D18" s="291"/>
      <c r="E18" s="85"/>
      <c r="F18" s="19">
        <f t="shared" ref="F18:L18" si="2">SUM(F4:F17)</f>
        <v>46.579400000000007</v>
      </c>
      <c r="G18" s="207">
        <f t="shared" si="2"/>
        <v>36913680</v>
      </c>
      <c r="H18" s="215">
        <f t="shared" si="2"/>
        <v>20440696</v>
      </c>
      <c r="I18" s="215">
        <f t="shared" si="2"/>
        <v>0</v>
      </c>
      <c r="J18" s="215">
        <f t="shared" si="2"/>
        <v>0</v>
      </c>
      <c r="K18" s="215">
        <f t="shared" si="2"/>
        <v>0</v>
      </c>
      <c r="L18" s="207">
        <f t="shared" si="2"/>
        <v>3452000</v>
      </c>
      <c r="M18" s="207">
        <f>SUM(M4:M17)</f>
        <v>60806376</v>
      </c>
      <c r="N18" s="337"/>
      <c r="O18" s="338"/>
      <c r="P18" s="339"/>
    </row>
    <row r="30" spans="3:16">
      <c r="L30" s="155">
        <v>2890800</v>
      </c>
    </row>
    <row r="31" spans="3:16">
      <c r="L31" s="155">
        <v>7921585</v>
      </c>
    </row>
    <row r="32" spans="3:16">
      <c r="L32" s="155">
        <v>4662135</v>
      </c>
    </row>
    <row r="33" spans="12:14">
      <c r="L33" s="155">
        <v>1499896</v>
      </c>
    </row>
    <row r="34" spans="12:14">
      <c r="L34" s="155">
        <v>3236090</v>
      </c>
    </row>
    <row r="35" spans="12:14">
      <c r="L35" s="155">
        <v>8748580</v>
      </c>
      <c r="M35" s="152">
        <v>3452000</v>
      </c>
    </row>
    <row r="36" spans="12:14">
      <c r="L36" s="155">
        <v>5333990</v>
      </c>
    </row>
    <row r="37" spans="12:14">
      <c r="M37" s="152">
        <f>SUM(M35:M36)</f>
        <v>3452000</v>
      </c>
      <c r="N37">
        <f>SUM(L37:M37)</f>
        <v>3452000</v>
      </c>
    </row>
  </sheetData>
  <mergeCells count="19">
    <mergeCell ref="O14:O15"/>
    <mergeCell ref="C2:P2"/>
    <mergeCell ref="N18:P18"/>
    <mergeCell ref="D8:D9"/>
    <mergeCell ref="H8:H9"/>
    <mergeCell ref="I8:I9"/>
    <mergeCell ref="J8:J9"/>
    <mergeCell ref="K8:K9"/>
    <mergeCell ref="C18:D18"/>
    <mergeCell ref="L8:L9"/>
    <mergeCell ref="N14:N15"/>
    <mergeCell ref="M8:M9"/>
    <mergeCell ref="N8:N9"/>
    <mergeCell ref="E8:E9"/>
    <mergeCell ref="F8:F9"/>
    <mergeCell ref="P8:P9"/>
    <mergeCell ref="G8:G9"/>
    <mergeCell ref="O8:O9"/>
    <mergeCell ref="N11:N12"/>
  </mergeCells>
  <pageMargins left="0.15748031496062992" right="0.15748031496062992" top="0.22" bottom="0.15" header="0.11811023622047245" footer="0.15"/>
  <pageSetup paperSize="9" scale="67" orientation="landscape" verticalDpi="0" r:id="rId1"/>
  <ignoredErrors>
    <ignoredError sqref="M17 M11:M15 M6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B2:N6"/>
  <sheetViews>
    <sheetView workbookViewId="0">
      <selection activeCell="J9" sqref="J9"/>
    </sheetView>
  </sheetViews>
  <sheetFormatPr defaultRowHeight="15"/>
  <cols>
    <col min="1" max="1" width="3.85546875" customWidth="1"/>
    <col min="2" max="2" width="10.5703125" bestFit="1" customWidth="1"/>
    <col min="3" max="3" width="14.85546875" customWidth="1"/>
    <col min="4" max="4" width="13.85546875" customWidth="1"/>
    <col min="5" max="5" width="11.42578125" customWidth="1"/>
    <col min="6" max="6" width="9.28515625" customWidth="1"/>
    <col min="7" max="7" width="8.5703125" customWidth="1"/>
    <col min="8" max="8" width="10.42578125" customWidth="1"/>
    <col min="9" max="9" width="10.140625" customWidth="1"/>
    <col min="10" max="10" width="8.85546875" customWidth="1"/>
    <col min="11" max="11" width="10.85546875" customWidth="1"/>
    <col min="12" max="12" width="10.5703125" style="1" customWidth="1"/>
    <col min="13" max="13" width="13.28515625" customWidth="1"/>
    <col min="14" max="14" width="11.28515625" bestFit="1" customWidth="1"/>
  </cols>
  <sheetData>
    <row r="2" spans="2:14" ht="19.5" thickBot="1">
      <c r="B2" s="288" t="s">
        <v>220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2:14" ht="63.75" thickBot="1">
      <c r="B3" s="2" t="s">
        <v>1</v>
      </c>
      <c r="C3" s="3" t="s">
        <v>2</v>
      </c>
      <c r="D3" s="82" t="s">
        <v>225</v>
      </c>
      <c r="E3" s="75" t="s">
        <v>224</v>
      </c>
      <c r="F3" s="3" t="s">
        <v>3</v>
      </c>
      <c r="G3" s="3" t="s">
        <v>4</v>
      </c>
      <c r="H3" s="54" t="s">
        <v>5</v>
      </c>
      <c r="I3" s="54" t="s">
        <v>6</v>
      </c>
      <c r="J3" s="54" t="s">
        <v>184</v>
      </c>
      <c r="K3" s="25" t="s">
        <v>7</v>
      </c>
      <c r="L3" s="3" t="s">
        <v>8</v>
      </c>
      <c r="M3" s="4" t="s">
        <v>9</v>
      </c>
      <c r="N3" s="20" t="s">
        <v>80</v>
      </c>
    </row>
    <row r="4" spans="2:14" ht="47.25" customHeight="1">
      <c r="B4" s="292" t="s">
        <v>102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4"/>
    </row>
    <row r="5" spans="2:14" ht="45" customHeight="1" thickBot="1">
      <c r="B5" s="345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7"/>
    </row>
    <row r="6" spans="2:14" ht="15.75" thickBot="1">
      <c r="B6" s="298" t="s">
        <v>10</v>
      </c>
      <c r="C6" s="300"/>
      <c r="D6" s="80"/>
      <c r="E6" s="77"/>
      <c r="F6" s="64">
        <f t="shared" ref="F6:L6" si="0">SUM(F4:F5)</f>
        <v>0</v>
      </c>
      <c r="G6" s="64">
        <f t="shared" si="0"/>
        <v>0</v>
      </c>
      <c r="H6" s="64">
        <f t="shared" si="0"/>
        <v>0</v>
      </c>
      <c r="I6" s="64">
        <f t="shared" si="0"/>
        <v>0</v>
      </c>
      <c r="J6" s="64">
        <f t="shared" si="0"/>
        <v>0</v>
      </c>
      <c r="K6" s="70">
        <f t="shared" si="0"/>
        <v>0</v>
      </c>
      <c r="L6" s="64">
        <f t="shared" si="0"/>
        <v>0</v>
      </c>
      <c r="M6" s="71"/>
      <c r="N6" s="86"/>
    </row>
  </sheetData>
  <mergeCells count="3">
    <mergeCell ref="B4:N5"/>
    <mergeCell ref="B2:N2"/>
    <mergeCell ref="B6:C6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B2:P17"/>
  <sheetViews>
    <sheetView workbookViewId="0">
      <selection activeCell="K9" sqref="K9"/>
    </sheetView>
  </sheetViews>
  <sheetFormatPr defaultRowHeight="15"/>
  <cols>
    <col min="1" max="1" width="3" customWidth="1"/>
    <col min="2" max="2" width="14" customWidth="1"/>
    <col min="3" max="3" width="27" customWidth="1"/>
    <col min="4" max="4" width="15.7109375" customWidth="1"/>
    <col min="5" max="5" width="14.42578125" customWidth="1"/>
    <col min="6" max="7" width="15.140625" style="155" bestFit="1" customWidth="1"/>
    <col min="8" max="8" width="10.140625" style="155" customWidth="1"/>
    <col min="9" max="9" width="10.85546875" style="155" customWidth="1"/>
    <col min="10" max="10" width="9.140625" style="155" customWidth="1"/>
    <col min="11" max="11" width="15.140625" style="155" bestFit="1" customWidth="1"/>
    <col min="12" max="12" width="16.85546875" style="152" bestFit="1" customWidth="1"/>
    <col min="13" max="13" width="17.140625" hidden="1" customWidth="1"/>
    <col min="14" max="14" width="17.140625" customWidth="1"/>
    <col min="15" max="15" width="15.140625" customWidth="1"/>
  </cols>
  <sheetData>
    <row r="2" spans="2:16" ht="27.75" customHeight="1" thickBot="1">
      <c r="B2" s="348" t="s">
        <v>103</v>
      </c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26"/>
    </row>
    <row r="3" spans="2:16" ht="48" thickBot="1">
      <c r="B3" s="2" t="s">
        <v>1</v>
      </c>
      <c r="C3" s="3" t="s">
        <v>2</v>
      </c>
      <c r="D3" s="82" t="s">
        <v>225</v>
      </c>
      <c r="E3" s="82" t="s">
        <v>224</v>
      </c>
      <c r="F3" s="148" t="s">
        <v>3</v>
      </c>
      <c r="G3" s="148" t="s">
        <v>4</v>
      </c>
      <c r="H3" s="148" t="s">
        <v>5</v>
      </c>
      <c r="I3" s="148" t="s">
        <v>6</v>
      </c>
      <c r="J3" s="193" t="s">
        <v>184</v>
      </c>
      <c r="K3" s="148" t="s">
        <v>7</v>
      </c>
      <c r="L3" s="148" t="s">
        <v>8</v>
      </c>
      <c r="M3" s="4" t="s">
        <v>9</v>
      </c>
      <c r="N3" s="4" t="s">
        <v>339</v>
      </c>
      <c r="O3" s="25" t="s">
        <v>80</v>
      </c>
    </row>
    <row r="4" spans="2:16" ht="20.25" customHeight="1">
      <c r="B4" s="12" t="s">
        <v>21</v>
      </c>
      <c r="C4" s="358" t="s">
        <v>104</v>
      </c>
      <c r="D4" s="349" t="s">
        <v>281</v>
      </c>
      <c r="E4" s="314">
        <v>47.493200000000002</v>
      </c>
      <c r="F4" s="354">
        <v>0</v>
      </c>
      <c r="G4" s="354">
        <v>0</v>
      </c>
      <c r="H4" s="354">
        <v>0</v>
      </c>
      <c r="I4" s="354">
        <v>0</v>
      </c>
      <c r="J4" s="354">
        <v>0</v>
      </c>
      <c r="K4" s="354">
        <v>0</v>
      </c>
      <c r="L4" s="354">
        <f>SUM(F4:K6)</f>
        <v>0</v>
      </c>
      <c r="M4" s="356"/>
      <c r="N4" s="365"/>
      <c r="O4" s="358" t="s">
        <v>105</v>
      </c>
    </row>
    <row r="5" spans="2:16" ht="12.75" customHeight="1">
      <c r="B5" s="137" t="s">
        <v>20</v>
      </c>
      <c r="C5" s="359"/>
      <c r="D5" s="350"/>
      <c r="E5" s="301"/>
      <c r="F5" s="355"/>
      <c r="G5" s="355"/>
      <c r="H5" s="355"/>
      <c r="I5" s="355"/>
      <c r="J5" s="355"/>
      <c r="K5" s="355"/>
      <c r="L5" s="355"/>
      <c r="M5" s="357"/>
      <c r="N5" s="366"/>
      <c r="O5" s="359"/>
    </row>
    <row r="6" spans="2:16" ht="14.25" customHeight="1">
      <c r="B6" s="137" t="s">
        <v>40</v>
      </c>
      <c r="C6" s="359"/>
      <c r="D6" s="351"/>
      <c r="E6" s="302"/>
      <c r="F6" s="355"/>
      <c r="G6" s="355"/>
      <c r="H6" s="355"/>
      <c r="I6" s="355"/>
      <c r="J6" s="355"/>
      <c r="K6" s="355"/>
      <c r="L6" s="355"/>
      <c r="M6" s="357"/>
      <c r="N6" s="367"/>
      <c r="O6" s="359"/>
    </row>
    <row r="7" spans="2:16" ht="29.25" customHeight="1">
      <c r="B7" s="124" t="s">
        <v>106</v>
      </c>
      <c r="C7" s="362" t="s">
        <v>108</v>
      </c>
      <c r="D7" s="352" t="s">
        <v>293</v>
      </c>
      <c r="E7" s="301">
        <v>0.871</v>
      </c>
      <c r="F7" s="364">
        <v>0</v>
      </c>
      <c r="G7" s="364">
        <v>0</v>
      </c>
      <c r="H7" s="364">
        <v>0</v>
      </c>
      <c r="I7" s="364">
        <v>0</v>
      </c>
      <c r="J7" s="364">
        <v>0</v>
      </c>
      <c r="K7" s="364">
        <v>0</v>
      </c>
      <c r="L7" s="364">
        <f>SUM(F7:K8)</f>
        <v>0</v>
      </c>
      <c r="M7" s="367"/>
      <c r="N7" s="368"/>
      <c r="O7" s="360" t="s">
        <v>105</v>
      </c>
    </row>
    <row r="8" spans="2:16" ht="32.25" customHeight="1">
      <c r="B8" s="7" t="s">
        <v>107</v>
      </c>
      <c r="C8" s="363"/>
      <c r="D8" s="353"/>
      <c r="E8" s="302"/>
      <c r="F8" s="355"/>
      <c r="G8" s="355"/>
      <c r="H8" s="355"/>
      <c r="I8" s="355"/>
      <c r="J8" s="355"/>
      <c r="K8" s="355"/>
      <c r="L8" s="355"/>
      <c r="M8" s="357"/>
      <c r="N8" s="367"/>
      <c r="O8" s="361"/>
    </row>
    <row r="9" spans="2:16" ht="48.75" customHeight="1">
      <c r="B9" s="126" t="s">
        <v>52</v>
      </c>
      <c r="C9" s="219" t="s">
        <v>109</v>
      </c>
      <c r="D9" s="221" t="s">
        <v>294</v>
      </c>
      <c r="E9" s="142">
        <v>1.9710000000000001</v>
      </c>
      <c r="F9" s="151">
        <v>1233846</v>
      </c>
      <c r="G9" s="151">
        <v>3682600</v>
      </c>
      <c r="H9" s="151">
        <v>0</v>
      </c>
      <c r="I9" s="151">
        <v>0</v>
      </c>
      <c r="J9" s="151">
        <v>0</v>
      </c>
      <c r="K9" s="151">
        <v>0</v>
      </c>
      <c r="L9" s="151">
        <f t="shared" ref="L9:L16" si="0">SUM(F9:K9)</f>
        <v>4916446</v>
      </c>
      <c r="M9" s="124" t="s">
        <v>180</v>
      </c>
      <c r="N9" s="255" t="s">
        <v>180</v>
      </c>
      <c r="O9" s="219" t="s">
        <v>81</v>
      </c>
    </row>
    <row r="10" spans="2:16" ht="90">
      <c r="B10" s="126" t="s">
        <v>12</v>
      </c>
      <c r="C10" s="138" t="s">
        <v>70</v>
      </c>
      <c r="D10" s="222" t="s">
        <v>295</v>
      </c>
      <c r="E10" s="142">
        <v>4.8899999999999997</v>
      </c>
      <c r="F10" s="151">
        <v>3061140</v>
      </c>
      <c r="G10" s="151">
        <v>1000000</v>
      </c>
      <c r="H10" s="151">
        <v>0</v>
      </c>
      <c r="I10" s="151">
        <v>0</v>
      </c>
      <c r="J10" s="151">
        <v>0</v>
      </c>
      <c r="K10" s="151">
        <f>1950000+100000</f>
        <v>2050000</v>
      </c>
      <c r="L10" s="151">
        <f t="shared" si="0"/>
        <v>6111140</v>
      </c>
      <c r="M10" s="264" t="s">
        <v>113</v>
      </c>
      <c r="N10" s="264" t="s">
        <v>321</v>
      </c>
      <c r="O10" s="264" t="s">
        <v>322</v>
      </c>
    </row>
    <row r="11" spans="2:16" ht="48.75" customHeight="1">
      <c r="B11" s="137" t="s">
        <v>110</v>
      </c>
      <c r="C11" s="139" t="s">
        <v>111</v>
      </c>
      <c r="D11" s="17" t="s">
        <v>282</v>
      </c>
      <c r="E11" s="224">
        <v>1</v>
      </c>
      <c r="F11" s="154">
        <v>0</v>
      </c>
      <c r="G11" s="154">
        <v>0</v>
      </c>
      <c r="H11" s="154">
        <v>0</v>
      </c>
      <c r="I11" s="154">
        <v>0</v>
      </c>
      <c r="J11" s="154">
        <v>0</v>
      </c>
      <c r="K11" s="154">
        <v>0</v>
      </c>
      <c r="L11" s="154">
        <f t="shared" si="0"/>
        <v>0</v>
      </c>
      <c r="M11" s="137"/>
      <c r="N11" s="277"/>
      <c r="O11" s="141" t="s">
        <v>112</v>
      </c>
    </row>
    <row r="12" spans="2:16" ht="73.5" customHeight="1">
      <c r="B12" s="126" t="s">
        <v>20</v>
      </c>
      <c r="C12" s="138" t="s">
        <v>114</v>
      </c>
      <c r="D12" s="223" t="s">
        <v>285</v>
      </c>
      <c r="E12" s="224">
        <v>0.56000000000000005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f t="shared" si="0"/>
        <v>0</v>
      </c>
      <c r="M12" s="126"/>
      <c r="N12" s="135"/>
      <c r="O12" s="220" t="s">
        <v>115</v>
      </c>
    </row>
    <row r="13" spans="2:16" ht="60.75" customHeight="1">
      <c r="B13" s="126" t="s">
        <v>20</v>
      </c>
      <c r="C13" s="138" t="s">
        <v>116</v>
      </c>
      <c r="D13" s="228" t="s">
        <v>286</v>
      </c>
      <c r="E13" s="224">
        <v>7.0000000000000001E-3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f t="shared" si="0"/>
        <v>0</v>
      </c>
      <c r="M13" s="126"/>
      <c r="N13" s="135"/>
      <c r="O13" s="220" t="s">
        <v>115</v>
      </c>
    </row>
    <row r="14" spans="2:16" ht="48.75" customHeight="1">
      <c r="B14" s="137" t="s">
        <v>20</v>
      </c>
      <c r="C14" s="139" t="s">
        <v>117</v>
      </c>
      <c r="D14" s="228" t="s">
        <v>296</v>
      </c>
      <c r="E14" s="145">
        <v>5.9999999999999995E-4</v>
      </c>
      <c r="F14" s="154">
        <v>440</v>
      </c>
      <c r="G14" s="154">
        <v>3400</v>
      </c>
      <c r="H14" s="154">
        <v>0</v>
      </c>
      <c r="I14" s="154">
        <v>0</v>
      </c>
      <c r="J14" s="154">
        <v>0</v>
      </c>
      <c r="K14" s="154">
        <v>0</v>
      </c>
      <c r="L14" s="154">
        <f t="shared" si="0"/>
        <v>3840</v>
      </c>
      <c r="M14" s="124" t="s">
        <v>181</v>
      </c>
      <c r="N14" s="264"/>
      <c r="O14" s="140" t="s">
        <v>81</v>
      </c>
    </row>
    <row r="15" spans="2:16" ht="97.5" customHeight="1">
      <c r="B15" s="126" t="s">
        <v>17</v>
      </c>
      <c r="C15" s="138" t="s">
        <v>118</v>
      </c>
      <c r="D15" s="223" t="s">
        <v>280</v>
      </c>
      <c r="E15" s="142">
        <v>0.99</v>
      </c>
      <c r="F15" s="151">
        <v>929610</v>
      </c>
      <c r="G15" s="151">
        <v>61200</v>
      </c>
      <c r="H15" s="151">
        <v>0</v>
      </c>
      <c r="I15" s="151">
        <v>0</v>
      </c>
      <c r="J15" s="151">
        <v>0</v>
      </c>
      <c r="K15" s="151">
        <v>0</v>
      </c>
      <c r="L15" s="151">
        <f t="shared" si="0"/>
        <v>990810</v>
      </c>
      <c r="M15" s="124" t="s">
        <v>182</v>
      </c>
      <c r="N15" s="255" t="s">
        <v>182</v>
      </c>
      <c r="O15" s="219" t="s">
        <v>81</v>
      </c>
    </row>
    <row r="16" spans="2:16" ht="48.75" customHeight="1" thickBot="1">
      <c r="B16" s="125" t="s">
        <v>119</v>
      </c>
      <c r="C16" s="216" t="s">
        <v>120</v>
      </c>
      <c r="D16" s="242" t="s">
        <v>279</v>
      </c>
      <c r="E16" s="217">
        <v>1</v>
      </c>
      <c r="F16" s="214">
        <v>626000</v>
      </c>
      <c r="G16" s="214">
        <v>67600</v>
      </c>
      <c r="H16" s="214">
        <v>0</v>
      </c>
      <c r="I16" s="214">
        <v>0</v>
      </c>
      <c r="J16" s="214">
        <v>0</v>
      </c>
      <c r="K16" s="214">
        <v>0</v>
      </c>
      <c r="L16" s="214">
        <f t="shared" si="0"/>
        <v>693600</v>
      </c>
      <c r="M16" s="125"/>
      <c r="N16" s="125"/>
      <c r="O16" s="218"/>
    </row>
    <row r="17" spans="2:15" ht="30.75" customHeight="1" thickBot="1">
      <c r="B17" s="289" t="s">
        <v>10</v>
      </c>
      <c r="C17" s="290"/>
      <c r="D17" s="291"/>
      <c r="E17" s="131">
        <f t="shared" ref="E17:L17" si="1">SUM(E4:E16)</f>
        <v>58.782800000000002</v>
      </c>
      <c r="F17" s="215">
        <f t="shared" si="1"/>
        <v>5851036</v>
      </c>
      <c r="G17" s="215">
        <f t="shared" si="1"/>
        <v>4814800</v>
      </c>
      <c r="H17" s="215">
        <f t="shared" si="1"/>
        <v>0</v>
      </c>
      <c r="I17" s="215">
        <f t="shared" si="1"/>
        <v>0</v>
      </c>
      <c r="J17" s="215">
        <f t="shared" si="1"/>
        <v>0</v>
      </c>
      <c r="K17" s="215">
        <f t="shared" si="1"/>
        <v>2050000</v>
      </c>
      <c r="L17" s="215">
        <f t="shared" si="1"/>
        <v>12715836</v>
      </c>
      <c r="M17" s="88"/>
      <c r="N17" s="87"/>
      <c r="O17" s="87"/>
    </row>
  </sheetData>
  <mergeCells count="28">
    <mergeCell ref="N4:N6"/>
    <mergeCell ref="N7:N8"/>
    <mergeCell ref="J7:J8"/>
    <mergeCell ref="K7:K8"/>
    <mergeCell ref="L7:L8"/>
    <mergeCell ref="M7:M8"/>
    <mergeCell ref="O7:O8"/>
    <mergeCell ref="C7:C8"/>
    <mergeCell ref="F7:F8"/>
    <mergeCell ref="G7:G8"/>
    <mergeCell ref="H7:H8"/>
    <mergeCell ref="I7:I8"/>
    <mergeCell ref="B17:D17"/>
    <mergeCell ref="B2:O2"/>
    <mergeCell ref="D4:D6"/>
    <mergeCell ref="E4:E6"/>
    <mergeCell ref="D7:D8"/>
    <mergeCell ref="E7:E8"/>
    <mergeCell ref="F4:F6"/>
    <mergeCell ref="G4:G6"/>
    <mergeCell ref="H4:H6"/>
    <mergeCell ref="L4:L6"/>
    <mergeCell ref="M4:M6"/>
    <mergeCell ref="O4:O6"/>
    <mergeCell ref="I4:I6"/>
    <mergeCell ref="J4:J6"/>
    <mergeCell ref="K4:K6"/>
    <mergeCell ref="C4:C6"/>
  </mergeCells>
  <pageMargins left="0.15748031496062992" right="0.15748031496062992" top="0.11811023622047245" bottom="0.15748031496062992" header="0.31496062992125984" footer="0.31496062992125984"/>
  <pageSetup paperSize="9" scale="70" orientation="landscape" verticalDpi="0" r:id="rId1"/>
  <ignoredErrors>
    <ignoredError sqref="L9:L12 L13:L16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B2:P10"/>
  <sheetViews>
    <sheetView topLeftCell="D1" workbookViewId="0">
      <selection activeCell="N3" sqref="N3"/>
    </sheetView>
  </sheetViews>
  <sheetFormatPr defaultRowHeight="15"/>
  <cols>
    <col min="1" max="1" width="2.140625" customWidth="1"/>
    <col min="2" max="2" width="14" customWidth="1"/>
    <col min="3" max="3" width="27" customWidth="1"/>
    <col min="4" max="4" width="15.7109375" customWidth="1"/>
    <col min="5" max="5" width="14" customWidth="1"/>
    <col min="6" max="7" width="15.140625" style="155" bestFit="1" customWidth="1"/>
    <col min="8" max="8" width="10.140625" style="155" customWidth="1"/>
    <col min="9" max="9" width="10.85546875" style="155" customWidth="1"/>
    <col min="10" max="10" width="11" style="155" customWidth="1"/>
    <col min="11" max="11" width="14" style="155" bestFit="1" customWidth="1"/>
    <col min="12" max="12" width="15.140625" style="152" bestFit="1" customWidth="1"/>
    <col min="13" max="13" width="17.7109375" hidden="1" customWidth="1"/>
    <col min="14" max="14" width="17.7109375" customWidth="1"/>
    <col min="15" max="15" width="21.28515625" customWidth="1"/>
  </cols>
  <sheetData>
    <row r="2" spans="2:16" ht="24.75" customHeight="1" thickBot="1">
      <c r="B2" s="348" t="s">
        <v>121</v>
      </c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26"/>
    </row>
    <row r="3" spans="2:16" ht="48" thickBot="1">
      <c r="B3" s="2" t="s">
        <v>1</v>
      </c>
      <c r="C3" s="3" t="s">
        <v>2</v>
      </c>
      <c r="D3" s="82" t="s">
        <v>225</v>
      </c>
      <c r="E3" s="82" t="s">
        <v>224</v>
      </c>
      <c r="F3" s="148" t="s">
        <v>3</v>
      </c>
      <c r="G3" s="148" t="s">
        <v>4</v>
      </c>
      <c r="H3" s="148" t="s">
        <v>5</v>
      </c>
      <c r="I3" s="148" t="s">
        <v>6</v>
      </c>
      <c r="J3" s="193" t="s">
        <v>184</v>
      </c>
      <c r="K3" s="148" t="s">
        <v>7</v>
      </c>
      <c r="L3" s="148" t="s">
        <v>8</v>
      </c>
      <c r="M3" s="4" t="s">
        <v>9</v>
      </c>
      <c r="N3" s="4" t="s">
        <v>339</v>
      </c>
      <c r="O3" s="25" t="s">
        <v>80</v>
      </c>
    </row>
    <row r="4" spans="2:16" ht="35.25" customHeight="1">
      <c r="B4" s="12" t="s">
        <v>122</v>
      </c>
      <c r="C4" s="371" t="s">
        <v>124</v>
      </c>
      <c r="D4" s="349" t="s">
        <v>283</v>
      </c>
      <c r="E4" s="369">
        <v>4.75</v>
      </c>
      <c r="F4" s="372">
        <v>1907125</v>
      </c>
      <c r="G4" s="373">
        <v>0</v>
      </c>
      <c r="H4" s="364">
        <v>0</v>
      </c>
      <c r="I4" s="364">
        <v>0</v>
      </c>
      <c r="J4" s="364">
        <v>0</v>
      </c>
      <c r="K4" s="364">
        <v>0</v>
      </c>
      <c r="L4" s="364">
        <f>SUM(F4:K5)</f>
        <v>1907125</v>
      </c>
      <c r="M4" s="314" t="s">
        <v>183</v>
      </c>
      <c r="N4" s="314"/>
      <c r="O4" s="371" t="s">
        <v>125</v>
      </c>
    </row>
    <row r="5" spans="2:16" ht="41.25" customHeight="1">
      <c r="B5" s="6" t="s">
        <v>123</v>
      </c>
      <c r="C5" s="359"/>
      <c r="D5" s="351"/>
      <c r="E5" s="370"/>
      <c r="F5" s="364"/>
      <c r="G5" s="304"/>
      <c r="H5" s="355"/>
      <c r="I5" s="355"/>
      <c r="J5" s="355"/>
      <c r="K5" s="355"/>
      <c r="L5" s="355"/>
      <c r="M5" s="302"/>
      <c r="N5" s="302"/>
      <c r="O5" s="359"/>
    </row>
    <row r="6" spans="2:16" ht="84.75" customHeight="1">
      <c r="B6" s="7" t="s">
        <v>24</v>
      </c>
      <c r="C6" s="27" t="s">
        <v>126</v>
      </c>
      <c r="D6" s="222" t="s">
        <v>289</v>
      </c>
      <c r="E6" s="142">
        <v>1.5640000000000001</v>
      </c>
      <c r="F6" s="227">
        <v>1468600</v>
      </c>
      <c r="G6" s="227">
        <v>1628856</v>
      </c>
      <c r="H6" s="226">
        <v>0</v>
      </c>
      <c r="I6" s="226">
        <v>0</v>
      </c>
      <c r="J6" s="226">
        <v>0</v>
      </c>
      <c r="K6" s="226">
        <f>149022+814428</f>
        <v>963450</v>
      </c>
      <c r="L6" s="226">
        <f>SUM(F6:K6)</f>
        <v>4060906</v>
      </c>
      <c r="M6" s="262" t="s">
        <v>306</v>
      </c>
      <c r="N6" s="262" t="s">
        <v>306</v>
      </c>
      <c r="O6" s="16"/>
    </row>
    <row r="7" spans="2:16" ht="60.75" customHeight="1">
      <c r="B7" s="13" t="s">
        <v>88</v>
      </c>
      <c r="C7" s="27" t="s">
        <v>127</v>
      </c>
      <c r="D7" s="229" t="s">
        <v>290</v>
      </c>
      <c r="E7" s="224">
        <v>2</v>
      </c>
      <c r="F7" s="226">
        <v>0</v>
      </c>
      <c r="G7" s="226">
        <v>0</v>
      </c>
      <c r="H7" s="226">
        <v>0</v>
      </c>
      <c r="I7" s="226">
        <v>0</v>
      </c>
      <c r="J7" s="226">
        <v>0</v>
      </c>
      <c r="K7" s="226">
        <v>0</v>
      </c>
      <c r="L7" s="226">
        <f>SUM(F7:K7)</f>
        <v>0</v>
      </c>
      <c r="M7" s="159"/>
      <c r="N7" s="135"/>
      <c r="O7" s="16" t="s">
        <v>128</v>
      </c>
    </row>
    <row r="8" spans="2:16" ht="60">
      <c r="B8" s="6" t="s">
        <v>16</v>
      </c>
      <c r="C8" s="9" t="s">
        <v>129</v>
      </c>
      <c r="D8" s="230" t="s">
        <v>291</v>
      </c>
      <c r="E8" s="224">
        <v>0.72</v>
      </c>
      <c r="F8" s="226">
        <v>0</v>
      </c>
      <c r="G8" s="226">
        <v>0</v>
      </c>
      <c r="H8" s="226">
        <v>0</v>
      </c>
      <c r="I8" s="226">
        <v>0</v>
      </c>
      <c r="J8" s="226">
        <v>0</v>
      </c>
      <c r="K8" s="226">
        <v>0</v>
      </c>
      <c r="L8" s="226">
        <f>SUM(F8:K8)</f>
        <v>0</v>
      </c>
      <c r="M8" s="6"/>
      <c r="N8" s="277"/>
      <c r="O8" s="16" t="s">
        <v>128</v>
      </c>
    </row>
    <row r="9" spans="2:16" ht="63" customHeight="1" thickBot="1">
      <c r="B9" s="6" t="s">
        <v>16</v>
      </c>
      <c r="C9" s="9" t="s">
        <v>130</v>
      </c>
      <c r="D9" s="89" t="s">
        <v>292</v>
      </c>
      <c r="E9" s="231">
        <v>1.9970000000000001</v>
      </c>
      <c r="F9" s="226">
        <v>0</v>
      </c>
      <c r="G9" s="226">
        <v>0</v>
      </c>
      <c r="H9" s="226">
        <v>0</v>
      </c>
      <c r="I9" s="226">
        <v>0</v>
      </c>
      <c r="J9" s="226">
        <v>0</v>
      </c>
      <c r="K9" s="226">
        <v>0</v>
      </c>
      <c r="L9" s="226">
        <f>SUM(F9:K9)</f>
        <v>0</v>
      </c>
      <c r="M9" s="6"/>
      <c r="N9" s="277"/>
      <c r="O9" s="16" t="s">
        <v>128</v>
      </c>
    </row>
    <row r="10" spans="2:16" s="171" customFormat="1" ht="30.75" customHeight="1" thickBot="1">
      <c r="B10" s="289" t="s">
        <v>10</v>
      </c>
      <c r="C10" s="290"/>
      <c r="D10" s="291"/>
      <c r="E10" s="207">
        <f>SUM(E4:E9)</f>
        <v>11.031000000000001</v>
      </c>
      <c r="F10" s="215">
        <f>SUM(F4:F9)</f>
        <v>3375725</v>
      </c>
      <c r="G10" s="215">
        <f t="shared" ref="G10:L10" si="0">SUM(G4:G9)</f>
        <v>1628856</v>
      </c>
      <c r="H10" s="215">
        <f t="shared" si="0"/>
        <v>0</v>
      </c>
      <c r="I10" s="215">
        <f t="shared" si="0"/>
        <v>0</v>
      </c>
      <c r="J10" s="215">
        <f t="shared" si="0"/>
        <v>0</v>
      </c>
      <c r="K10" s="215">
        <f t="shared" si="0"/>
        <v>963450</v>
      </c>
      <c r="L10" s="215">
        <f t="shared" si="0"/>
        <v>5968031</v>
      </c>
      <c r="M10" s="19"/>
      <c r="N10" s="258"/>
      <c r="O10" s="165"/>
    </row>
  </sheetData>
  <mergeCells count="15">
    <mergeCell ref="B10:D10"/>
    <mergeCell ref="B2:O2"/>
    <mergeCell ref="D4:D5"/>
    <mergeCell ref="E4:E5"/>
    <mergeCell ref="C4:C5"/>
    <mergeCell ref="F4:F5"/>
    <mergeCell ref="G4:G5"/>
    <mergeCell ref="H4:H5"/>
    <mergeCell ref="I4:I5"/>
    <mergeCell ref="O4:O5"/>
    <mergeCell ref="J4:J5"/>
    <mergeCell ref="K4:K5"/>
    <mergeCell ref="L4:L5"/>
    <mergeCell ref="M4:M5"/>
    <mergeCell ref="N4:N5"/>
  </mergeCells>
  <pageMargins left="0.15748031496062992" right="0.15748031496062992" top="0.19685039370078741" bottom="0.31496062992125984" header="0.31496062992125984" footer="0.31496062992125984"/>
  <pageSetup paperSize="9" scale="70" orientation="landscape" verticalDpi="0" r:id="rId1"/>
  <ignoredErrors>
    <ignoredError sqref="L6:L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B2:P7"/>
  <sheetViews>
    <sheetView topLeftCell="D1" zoomScaleNormal="100" workbookViewId="0">
      <selection activeCell="N3" sqref="N3"/>
    </sheetView>
  </sheetViews>
  <sheetFormatPr defaultRowHeight="15"/>
  <cols>
    <col min="1" max="1" width="2.42578125" customWidth="1"/>
    <col min="2" max="2" width="14" customWidth="1"/>
    <col min="3" max="3" width="29" customWidth="1"/>
    <col min="4" max="4" width="15.7109375" customWidth="1"/>
    <col min="5" max="5" width="14.42578125" customWidth="1"/>
    <col min="6" max="6" width="16" style="152" bestFit="1" customWidth="1"/>
    <col min="7" max="7" width="16" style="155" bestFit="1" customWidth="1"/>
    <col min="8" max="8" width="13.140625" style="155" bestFit="1" customWidth="1"/>
    <col min="9" max="9" width="10.85546875" style="155" customWidth="1"/>
    <col min="10" max="10" width="8.85546875" style="155" customWidth="1"/>
    <col min="11" max="11" width="14.28515625" style="155" bestFit="1" customWidth="1"/>
    <col min="12" max="12" width="16" style="152" bestFit="1" customWidth="1"/>
    <col min="13" max="13" width="16.7109375" hidden="1" customWidth="1"/>
    <col min="14" max="14" width="16.7109375" customWidth="1"/>
    <col min="15" max="15" width="13" customWidth="1"/>
  </cols>
  <sheetData>
    <row r="2" spans="2:16" ht="27.75" customHeight="1" thickBot="1">
      <c r="B2" s="348" t="s">
        <v>145</v>
      </c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26"/>
    </row>
    <row r="3" spans="2:16" ht="48" thickBot="1">
      <c r="B3" s="2" t="s">
        <v>1</v>
      </c>
      <c r="C3" s="3" t="s">
        <v>2</v>
      </c>
      <c r="D3" s="82" t="s">
        <v>225</v>
      </c>
      <c r="E3" s="82" t="s">
        <v>224</v>
      </c>
      <c r="F3" s="148" t="s">
        <v>3</v>
      </c>
      <c r="G3" s="148" t="s">
        <v>4</v>
      </c>
      <c r="H3" s="148" t="s">
        <v>5</v>
      </c>
      <c r="I3" s="148" t="s">
        <v>6</v>
      </c>
      <c r="J3" s="193" t="s">
        <v>184</v>
      </c>
      <c r="K3" s="148" t="s">
        <v>7</v>
      </c>
      <c r="L3" s="148" t="s">
        <v>8</v>
      </c>
      <c r="M3" s="4" t="s">
        <v>9</v>
      </c>
      <c r="N3" s="4" t="s">
        <v>339</v>
      </c>
      <c r="O3" s="25" t="s">
        <v>80</v>
      </c>
    </row>
    <row r="4" spans="2:16" ht="131.25" customHeight="1">
      <c r="B4" s="12" t="s">
        <v>149</v>
      </c>
      <c r="C4" s="31" t="s">
        <v>146</v>
      </c>
      <c r="D4" s="12" t="s">
        <v>287</v>
      </c>
      <c r="E4" s="232">
        <v>2</v>
      </c>
      <c r="F4" s="225">
        <f>1774000</f>
        <v>1774000</v>
      </c>
      <c r="G4" s="238">
        <f>737320</f>
        <v>737320</v>
      </c>
      <c r="H4" s="238">
        <f>542080</f>
        <v>542080</v>
      </c>
      <c r="I4" s="238">
        <v>0</v>
      </c>
      <c r="J4" s="238">
        <v>0</v>
      </c>
      <c r="K4" s="238">
        <v>0</v>
      </c>
      <c r="L4" s="238">
        <f>SUM(F4:K4)</f>
        <v>3053400</v>
      </c>
      <c r="M4" s="12" t="s">
        <v>323</v>
      </c>
      <c r="N4" s="12" t="s">
        <v>323</v>
      </c>
      <c r="O4" s="12" t="s">
        <v>152</v>
      </c>
    </row>
    <row r="5" spans="2:16" ht="154.5" customHeight="1">
      <c r="B5" s="29" t="s">
        <v>150</v>
      </c>
      <c r="C5" s="234" t="s">
        <v>147</v>
      </c>
      <c r="D5" s="7" t="s">
        <v>284</v>
      </c>
      <c r="E5" s="224">
        <v>10.59</v>
      </c>
      <c r="F5" s="226">
        <f>6629340</f>
        <v>6629340</v>
      </c>
      <c r="G5" s="239">
        <v>14586000</v>
      </c>
      <c r="H5" s="239">
        <v>0</v>
      </c>
      <c r="I5" s="239">
        <v>0</v>
      </c>
      <c r="J5" s="239">
        <v>0</v>
      </c>
      <c r="K5" s="239">
        <f>2040000+230000</f>
        <v>2270000</v>
      </c>
      <c r="L5" s="240">
        <f t="shared" ref="L5:L6" si="0">SUM(F5:K5)</f>
        <v>23485340</v>
      </c>
      <c r="M5" s="234" t="s">
        <v>189</v>
      </c>
      <c r="N5" s="234" t="s">
        <v>189</v>
      </c>
      <c r="O5" s="34" t="s">
        <v>190</v>
      </c>
    </row>
    <row r="6" spans="2:16" ht="78.75" customHeight="1" thickBot="1">
      <c r="B6" s="7" t="s">
        <v>151</v>
      </c>
      <c r="C6" s="32" t="s">
        <v>148</v>
      </c>
      <c r="D6" s="235" t="s">
        <v>288</v>
      </c>
      <c r="E6" s="217">
        <v>1.92</v>
      </c>
      <c r="F6" s="226">
        <f>2002560</f>
        <v>2002560</v>
      </c>
      <c r="G6" s="226">
        <v>11346868</v>
      </c>
      <c r="H6" s="226">
        <v>0</v>
      </c>
      <c r="I6" s="226">
        <v>0</v>
      </c>
      <c r="J6" s="226">
        <v>0</v>
      </c>
      <c r="K6" s="226">
        <v>0</v>
      </c>
      <c r="L6" s="239">
        <f t="shared" si="0"/>
        <v>13349428</v>
      </c>
      <c r="M6" s="233" t="s">
        <v>192</v>
      </c>
      <c r="N6" s="233" t="s">
        <v>192</v>
      </c>
      <c r="O6" s="33" t="s">
        <v>153</v>
      </c>
    </row>
    <row r="7" spans="2:16" s="237" customFormat="1" ht="30.75" customHeight="1" thickBot="1">
      <c r="B7" s="320" t="s">
        <v>10</v>
      </c>
      <c r="C7" s="321"/>
      <c r="D7" s="322"/>
      <c r="E7" s="236">
        <f>SUM(E4:E6)</f>
        <v>14.51</v>
      </c>
      <c r="F7" s="241">
        <f t="shared" ref="F7:L7" si="1">SUM(F4:F6)</f>
        <v>10405900</v>
      </c>
      <c r="G7" s="241">
        <f t="shared" si="1"/>
        <v>26670188</v>
      </c>
      <c r="H7" s="241">
        <f t="shared" si="1"/>
        <v>542080</v>
      </c>
      <c r="I7" s="241">
        <f t="shared" si="1"/>
        <v>0</v>
      </c>
      <c r="J7" s="241">
        <f t="shared" si="1"/>
        <v>0</v>
      </c>
      <c r="K7" s="241">
        <f t="shared" si="1"/>
        <v>2270000</v>
      </c>
      <c r="L7" s="241">
        <f t="shared" si="1"/>
        <v>39888168</v>
      </c>
      <c r="M7" s="374"/>
      <c r="N7" s="375"/>
      <c r="O7" s="376"/>
    </row>
  </sheetData>
  <mergeCells count="3">
    <mergeCell ref="M7:O7"/>
    <mergeCell ref="B2:O2"/>
    <mergeCell ref="B7:D7"/>
  </mergeCells>
  <pageMargins left="0.16" right="0.16" top="0.22" bottom="0.35433070866141736" header="0.31496062992125984" footer="0.31496062992125984"/>
  <pageSetup paperSize="9" scale="7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2:O11"/>
  <sheetViews>
    <sheetView topLeftCell="D1" zoomScaleNormal="100" workbookViewId="0">
      <selection activeCell="D8" sqref="D8"/>
    </sheetView>
  </sheetViews>
  <sheetFormatPr defaultRowHeight="15"/>
  <cols>
    <col min="1" max="1" width="14" customWidth="1"/>
    <col min="2" max="2" width="33.7109375" customWidth="1"/>
    <col min="3" max="3" width="15.7109375" customWidth="1"/>
    <col min="4" max="4" width="14.42578125" customWidth="1"/>
    <col min="5" max="5" width="17.28515625" style="152" bestFit="1" customWidth="1"/>
    <col min="6" max="6" width="17.28515625" style="155" bestFit="1" customWidth="1"/>
    <col min="7" max="7" width="13.42578125" style="155" customWidth="1"/>
    <col min="8" max="8" width="12.85546875" style="155" bestFit="1" customWidth="1"/>
    <col min="9" max="9" width="16" style="155" bestFit="1" customWidth="1"/>
    <col min="10" max="10" width="14.42578125" style="155" bestFit="1" customWidth="1"/>
    <col min="11" max="11" width="17.28515625" style="152" bestFit="1" customWidth="1"/>
    <col min="12" max="12" width="16.7109375" hidden="1" customWidth="1"/>
    <col min="13" max="13" width="21.7109375" customWidth="1"/>
    <col min="14" max="14" width="19.42578125" customWidth="1"/>
  </cols>
  <sheetData>
    <row r="2" spans="1:15" ht="27.75" customHeight="1" thickBot="1">
      <c r="A2" s="390" t="s">
        <v>324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26"/>
    </row>
    <row r="3" spans="1:15" ht="57" customHeight="1" thickBot="1">
      <c r="A3" s="2" t="s">
        <v>1</v>
      </c>
      <c r="B3" s="3" t="s">
        <v>2</v>
      </c>
      <c r="C3" s="4" t="s">
        <v>225</v>
      </c>
      <c r="D3" s="4" t="s">
        <v>224</v>
      </c>
      <c r="E3" s="148" t="s">
        <v>3</v>
      </c>
      <c r="F3" s="148" t="s">
        <v>4</v>
      </c>
      <c r="G3" s="148" t="s">
        <v>5</v>
      </c>
      <c r="H3" s="148" t="s">
        <v>6</v>
      </c>
      <c r="I3" s="193" t="s">
        <v>184</v>
      </c>
      <c r="J3" s="148" t="s">
        <v>7</v>
      </c>
      <c r="K3" s="148" t="s">
        <v>8</v>
      </c>
      <c r="L3" s="4" t="s">
        <v>9</v>
      </c>
      <c r="M3" s="4" t="s">
        <v>339</v>
      </c>
      <c r="N3" s="25" t="s">
        <v>80</v>
      </c>
    </row>
    <row r="4" spans="1:15" ht="30" customHeight="1" thickBot="1">
      <c r="A4" s="286" t="s">
        <v>43</v>
      </c>
      <c r="B4" s="392" t="s">
        <v>325</v>
      </c>
      <c r="C4" s="388" t="s">
        <v>326</v>
      </c>
      <c r="D4" s="393">
        <v>47.493200000000002</v>
      </c>
      <c r="E4" s="372">
        <f>44596115</f>
        <v>44596115</v>
      </c>
      <c r="F4" s="372">
        <v>15639494</v>
      </c>
      <c r="G4" s="372">
        <v>0</v>
      </c>
      <c r="H4" s="373">
        <v>0</v>
      </c>
      <c r="I4" s="373">
        <v>0</v>
      </c>
      <c r="J4" s="372">
        <f>2419948</f>
        <v>2419948</v>
      </c>
      <c r="K4" s="373">
        <f>SUM(E4:J4)</f>
        <v>62655557</v>
      </c>
      <c r="L4" s="12" t="s">
        <v>323</v>
      </c>
      <c r="M4" s="314" t="s">
        <v>341</v>
      </c>
      <c r="N4" s="388" t="s">
        <v>328</v>
      </c>
    </row>
    <row r="5" spans="1:15" ht="60" customHeight="1" thickBot="1">
      <c r="A5" s="286" t="s">
        <v>20</v>
      </c>
      <c r="B5" s="382"/>
      <c r="C5" s="389"/>
      <c r="D5" s="384"/>
      <c r="E5" s="378"/>
      <c r="F5" s="378"/>
      <c r="G5" s="378"/>
      <c r="H5" s="303"/>
      <c r="I5" s="303"/>
      <c r="J5" s="378"/>
      <c r="K5" s="303"/>
      <c r="L5" s="234" t="s">
        <v>189</v>
      </c>
      <c r="M5" s="301"/>
      <c r="N5" s="389"/>
    </row>
    <row r="6" spans="1:15" ht="47.25" customHeight="1" thickBot="1">
      <c r="A6" s="265" t="s">
        <v>40</v>
      </c>
      <c r="B6" s="382"/>
      <c r="C6" s="389"/>
      <c r="D6" s="384"/>
      <c r="E6" s="378"/>
      <c r="F6" s="378"/>
      <c r="G6" s="378"/>
      <c r="H6" s="303"/>
      <c r="I6" s="303"/>
      <c r="J6" s="378"/>
      <c r="K6" s="303"/>
      <c r="L6" s="266" t="s">
        <v>192</v>
      </c>
      <c r="M6" s="301"/>
      <c r="N6" s="389"/>
    </row>
    <row r="7" spans="1:15" ht="114" customHeight="1" thickBot="1">
      <c r="A7" s="286" t="s">
        <v>336</v>
      </c>
      <c r="B7" s="285" t="s">
        <v>327</v>
      </c>
      <c r="C7" s="285" t="s">
        <v>335</v>
      </c>
      <c r="D7" s="284">
        <v>16.39</v>
      </c>
      <c r="E7" s="283">
        <f>76951050</f>
        <v>76951050</v>
      </c>
      <c r="F7" s="283">
        <f>11306938</f>
        <v>11306938</v>
      </c>
      <c r="G7" s="280">
        <v>0</v>
      </c>
      <c r="H7" s="280">
        <v>0</v>
      </c>
      <c r="I7" s="280">
        <v>0</v>
      </c>
      <c r="J7" s="283">
        <f>1435840</f>
        <v>1435840</v>
      </c>
      <c r="K7" s="281">
        <f>SUM(E7:J7)</f>
        <v>89693828</v>
      </c>
      <c r="L7" s="282"/>
      <c r="M7" s="285" t="s">
        <v>338</v>
      </c>
      <c r="N7" s="285" t="s">
        <v>329</v>
      </c>
    </row>
    <row r="8" spans="1:15" ht="112.5" customHeight="1" thickBot="1">
      <c r="A8" s="286" t="s">
        <v>123</v>
      </c>
      <c r="B8" s="285" t="s">
        <v>330</v>
      </c>
      <c r="C8" s="285" t="s">
        <v>331</v>
      </c>
      <c r="D8" s="284">
        <v>32.65</v>
      </c>
      <c r="E8" s="283">
        <f>28960550</f>
        <v>28960550</v>
      </c>
      <c r="F8" s="283">
        <f>28800000</f>
        <v>28800000</v>
      </c>
      <c r="G8" s="280">
        <v>0</v>
      </c>
      <c r="H8" s="280">
        <v>0</v>
      </c>
      <c r="I8" s="283">
        <f>12375000</f>
        <v>12375000</v>
      </c>
      <c r="J8" s="283">
        <f>1311750</f>
        <v>1311750</v>
      </c>
      <c r="K8" s="281">
        <f>SUM(E8:J8)</f>
        <v>71447300</v>
      </c>
      <c r="L8" s="279"/>
      <c r="M8" s="287" t="s">
        <v>342</v>
      </c>
      <c r="N8" s="278" t="s">
        <v>337</v>
      </c>
    </row>
    <row r="9" spans="1:15" ht="36" customHeight="1" thickBot="1">
      <c r="A9" s="164" t="s">
        <v>119</v>
      </c>
      <c r="B9" s="382" t="s">
        <v>332</v>
      </c>
      <c r="C9" s="382" t="s">
        <v>333</v>
      </c>
      <c r="D9" s="384">
        <v>54.605899999999998</v>
      </c>
      <c r="E9" s="386">
        <f>41764893.7</f>
        <v>41764893.700000003</v>
      </c>
      <c r="F9" s="386">
        <f>60680000</f>
        <v>60680000</v>
      </c>
      <c r="G9" s="378">
        <v>0</v>
      </c>
      <c r="H9" s="303">
        <v>0</v>
      </c>
      <c r="I9" s="303">
        <v>0</v>
      </c>
      <c r="J9" s="378">
        <v>0</v>
      </c>
      <c r="K9" s="373">
        <f>SUM(E9:J9)</f>
        <v>102444893.7</v>
      </c>
      <c r="L9" s="279"/>
      <c r="M9" s="380" t="s">
        <v>340</v>
      </c>
      <c r="N9" s="380" t="s">
        <v>340</v>
      </c>
    </row>
    <row r="10" spans="1:15" ht="74.25" customHeight="1" thickBot="1">
      <c r="A10" s="164" t="s">
        <v>334</v>
      </c>
      <c r="B10" s="383"/>
      <c r="C10" s="383"/>
      <c r="D10" s="385"/>
      <c r="E10" s="387"/>
      <c r="F10" s="387"/>
      <c r="G10" s="379"/>
      <c r="H10" s="377"/>
      <c r="I10" s="377"/>
      <c r="J10" s="379"/>
      <c r="K10" s="377"/>
      <c r="L10" s="279"/>
      <c r="M10" s="381"/>
      <c r="N10" s="381"/>
    </row>
    <row r="11" spans="1:15" s="237" customFormat="1" ht="30.75" customHeight="1" thickBot="1">
      <c r="A11" s="391" t="s">
        <v>10</v>
      </c>
      <c r="B11" s="321"/>
      <c r="C11" s="322"/>
      <c r="D11" s="236">
        <f>SUM(D4:D10)</f>
        <v>151.13909999999998</v>
      </c>
      <c r="E11" s="241">
        <f t="shared" ref="E11:K11" si="0">SUM(E4:E10)</f>
        <v>192272608.69999999</v>
      </c>
      <c r="F11" s="241">
        <f t="shared" si="0"/>
        <v>116426432</v>
      </c>
      <c r="G11" s="241">
        <f t="shared" si="0"/>
        <v>0</v>
      </c>
      <c r="H11" s="241">
        <f t="shared" si="0"/>
        <v>0</v>
      </c>
      <c r="I11" s="241">
        <f t="shared" si="0"/>
        <v>12375000</v>
      </c>
      <c r="J11" s="241">
        <f t="shared" si="0"/>
        <v>5167538</v>
      </c>
      <c r="K11" s="241">
        <f t="shared" si="0"/>
        <v>326241578.69999999</v>
      </c>
      <c r="L11" s="374"/>
      <c r="M11" s="375"/>
      <c r="N11" s="376"/>
    </row>
  </sheetData>
  <mergeCells count="27">
    <mergeCell ref="A2:N2"/>
    <mergeCell ref="A11:C11"/>
    <mergeCell ref="L11:N11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M4:M6"/>
    <mergeCell ref="N4:N6"/>
    <mergeCell ref="N9:N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M9:M10"/>
  </mergeCells>
  <pageMargins left="0.16" right="0.16" top="0.22" bottom="0.35433070866141736" header="0.31496062992125984" footer="0.31496062992125984"/>
  <pageSetup paperSize="9" scale="7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B2:M28"/>
  <sheetViews>
    <sheetView tabSelected="1" topLeftCell="A5" zoomScaleNormal="100" workbookViewId="0">
      <selection activeCell="M6" sqref="M6"/>
    </sheetView>
  </sheetViews>
  <sheetFormatPr defaultRowHeight="14.25"/>
  <cols>
    <col min="1" max="1" width="3.28515625" style="45" customWidth="1"/>
    <col min="2" max="2" width="6" style="44" customWidth="1"/>
    <col min="3" max="3" width="14.140625" style="45" customWidth="1"/>
    <col min="4" max="4" width="19.7109375" style="45" customWidth="1"/>
    <col min="5" max="6" width="21.5703125" style="45" bestFit="1" customWidth="1"/>
    <col min="7" max="7" width="14.85546875" style="45" customWidth="1"/>
    <col min="8" max="8" width="21.140625" style="45" bestFit="1" customWidth="1"/>
    <col min="9" max="9" width="19.140625" style="45" bestFit="1" customWidth="1"/>
    <col min="10" max="10" width="23" style="45" bestFit="1" customWidth="1"/>
    <col min="11" max="11" width="9.140625" style="45"/>
    <col min="12" max="12" width="10.140625" style="45" customWidth="1"/>
    <col min="13" max="13" width="19" style="45" customWidth="1"/>
    <col min="14" max="16384" width="9.140625" style="45"/>
  </cols>
  <sheetData>
    <row r="2" spans="2:13" ht="18.75" thickBot="1">
      <c r="C2" s="394" t="s">
        <v>142</v>
      </c>
      <c r="D2" s="394"/>
      <c r="E2" s="394"/>
      <c r="F2" s="394"/>
      <c r="G2" s="394"/>
      <c r="H2" s="394"/>
      <c r="I2" s="394"/>
      <c r="J2" s="394"/>
    </row>
    <row r="3" spans="2:13" ht="86.25" customHeight="1" thickBot="1">
      <c r="B3" s="39" t="s">
        <v>144</v>
      </c>
      <c r="C3" s="43" t="s">
        <v>132</v>
      </c>
      <c r="D3" s="56" t="s">
        <v>193</v>
      </c>
      <c r="E3" s="53" t="s">
        <v>3</v>
      </c>
      <c r="F3" s="53" t="s">
        <v>4</v>
      </c>
      <c r="G3" s="53" t="s">
        <v>5</v>
      </c>
      <c r="H3" s="53" t="s">
        <v>6</v>
      </c>
      <c r="I3" s="53" t="s">
        <v>7</v>
      </c>
      <c r="J3" s="43" t="s">
        <v>8</v>
      </c>
    </row>
    <row r="4" spans="2:13" ht="42" customHeight="1">
      <c r="B4" s="40">
        <v>1</v>
      </c>
      <c r="C4" s="59" t="s">
        <v>194</v>
      </c>
      <c r="D4" s="60">
        <v>0</v>
      </c>
      <c r="E4" s="398">
        <v>1161160</v>
      </c>
      <c r="F4" s="61">
        <v>0</v>
      </c>
      <c r="G4" s="61">
        <v>0</v>
      </c>
      <c r="H4" s="61">
        <v>0</v>
      </c>
      <c r="I4" s="61">
        <v>1567000</v>
      </c>
      <c r="J4" s="46">
        <f>SUM(D4:I4)</f>
        <v>2728160</v>
      </c>
    </row>
    <row r="5" spans="2:13" ht="31.5" customHeight="1">
      <c r="B5" s="41">
        <v>2</v>
      </c>
      <c r="C5" s="42" t="s">
        <v>185</v>
      </c>
      <c r="D5" s="57">
        <v>0</v>
      </c>
      <c r="E5" s="397">
        <f>'2002-03'!F6</f>
        <v>5840600</v>
      </c>
      <c r="F5" s="46">
        <f>'2002-03'!G6</f>
        <v>0</v>
      </c>
      <c r="G5" s="46">
        <f>'2002-03'!H6</f>
        <v>0</v>
      </c>
      <c r="H5" s="46">
        <f>'2002-03'!I6</f>
        <v>0</v>
      </c>
      <c r="I5" s="46">
        <f>'2002-03'!K6</f>
        <v>0</v>
      </c>
      <c r="J5" s="46">
        <f>SUM(D5:I5)</f>
        <v>5840600</v>
      </c>
    </row>
    <row r="6" spans="2:13" ht="31.5" customHeight="1">
      <c r="B6" s="58">
        <v>3</v>
      </c>
      <c r="C6" s="36" t="s">
        <v>186</v>
      </c>
      <c r="D6" s="57">
        <v>0</v>
      </c>
      <c r="E6" s="397">
        <v>0</v>
      </c>
      <c r="F6" s="46">
        <v>0</v>
      </c>
      <c r="G6" s="46">
        <v>0</v>
      </c>
      <c r="H6" s="46">
        <v>0</v>
      </c>
      <c r="I6" s="46">
        <v>0</v>
      </c>
      <c r="J6" s="46">
        <f t="shared" ref="J6:J18" si="0">SUM(D6:I6)</f>
        <v>0</v>
      </c>
    </row>
    <row r="7" spans="2:13" ht="31.5" customHeight="1">
      <c r="B7" s="41">
        <v>4</v>
      </c>
      <c r="C7" s="36" t="s">
        <v>187</v>
      </c>
      <c r="D7" s="57">
        <v>0</v>
      </c>
      <c r="E7" s="397">
        <f>'2004-05'!F6</f>
        <v>180608020</v>
      </c>
      <c r="F7" s="46">
        <f>'2004-05'!G6</f>
        <v>0</v>
      </c>
      <c r="G7" s="46">
        <f>'2004-05'!H6</f>
        <v>0</v>
      </c>
      <c r="H7" s="46">
        <f>'2004-05'!I6</f>
        <v>34100000</v>
      </c>
      <c r="I7" s="46">
        <f>'2004-05'!K6</f>
        <v>5845000</v>
      </c>
      <c r="J7" s="46">
        <f t="shared" si="0"/>
        <v>220553020</v>
      </c>
    </row>
    <row r="8" spans="2:13" ht="31.5" customHeight="1">
      <c r="B8" s="58">
        <v>5</v>
      </c>
      <c r="C8" s="36" t="s">
        <v>188</v>
      </c>
      <c r="D8" s="57">
        <v>0</v>
      </c>
      <c r="E8" s="397">
        <f>'2005-06'!F7</f>
        <v>204662976</v>
      </c>
      <c r="F8" s="46">
        <f>'2005-06'!G7</f>
        <v>0</v>
      </c>
      <c r="G8" s="46">
        <f>'2005-06'!H7</f>
        <v>0</v>
      </c>
      <c r="H8" s="46">
        <f>'2005-06'!I7</f>
        <v>49100000</v>
      </c>
      <c r="I8" s="46">
        <f>'2005-06'!K7</f>
        <v>0</v>
      </c>
      <c r="J8" s="46">
        <f t="shared" si="0"/>
        <v>253762976</v>
      </c>
    </row>
    <row r="9" spans="2:13" ht="21" customHeight="1">
      <c r="B9" s="41">
        <v>6</v>
      </c>
      <c r="C9" s="36" t="s">
        <v>133</v>
      </c>
      <c r="D9" s="57">
        <v>0</v>
      </c>
      <c r="E9" s="46">
        <f>'2006-07'!F21</f>
        <v>67847227</v>
      </c>
      <c r="F9" s="46">
        <f>'2006-07'!G21</f>
        <v>61583</v>
      </c>
      <c r="G9" s="37">
        <v>0</v>
      </c>
      <c r="H9" s="46">
        <v>0</v>
      </c>
      <c r="I9" s="46">
        <f>'2006-07'!K21</f>
        <v>575110</v>
      </c>
      <c r="J9" s="46">
        <f t="shared" si="0"/>
        <v>68483920</v>
      </c>
    </row>
    <row r="10" spans="2:13" ht="26.25" customHeight="1">
      <c r="B10" s="58">
        <v>7</v>
      </c>
      <c r="C10" s="36" t="s">
        <v>134</v>
      </c>
      <c r="D10" s="37">
        <v>0</v>
      </c>
      <c r="E10" s="47">
        <f>'2007-08'!F8</f>
        <v>25260862</v>
      </c>
      <c r="F10" s="47">
        <f>'2007-08'!G8</f>
        <v>5461975</v>
      </c>
      <c r="G10" s="37">
        <v>0</v>
      </c>
      <c r="H10" s="47">
        <v>0</v>
      </c>
      <c r="I10" s="47">
        <f>'2007-08'!K8</f>
        <v>2250000</v>
      </c>
      <c r="J10" s="46">
        <f t="shared" si="0"/>
        <v>32972837</v>
      </c>
    </row>
    <row r="11" spans="2:13" ht="23.25" customHeight="1">
      <c r="B11" s="41">
        <v>8</v>
      </c>
      <c r="C11" s="36" t="s">
        <v>135</v>
      </c>
      <c r="D11" s="37">
        <v>0</v>
      </c>
      <c r="E11" s="47">
        <f>'2008-09'!F5</f>
        <v>43500</v>
      </c>
      <c r="F11" s="47">
        <v>0</v>
      </c>
      <c r="G11" s="37">
        <v>0</v>
      </c>
      <c r="H11" s="47">
        <v>0</v>
      </c>
      <c r="I11" s="47">
        <v>0</v>
      </c>
      <c r="J11" s="46">
        <f t="shared" si="0"/>
        <v>43500</v>
      </c>
      <c r="M11" s="55"/>
    </row>
    <row r="12" spans="2:13" ht="23.25" customHeight="1">
      <c r="B12" s="58">
        <v>9</v>
      </c>
      <c r="C12" s="36" t="s">
        <v>141</v>
      </c>
      <c r="D12" s="37">
        <f>69250898</f>
        <v>69250898</v>
      </c>
      <c r="E12" s="47">
        <f>'2009-10'!F18</f>
        <v>56330063</v>
      </c>
      <c r="F12" s="47">
        <f>'2009-10'!G18</f>
        <v>6094804</v>
      </c>
      <c r="G12" s="37">
        <v>0</v>
      </c>
      <c r="H12" s="47">
        <v>0</v>
      </c>
      <c r="I12" s="47">
        <f>'2009-10'!K18</f>
        <v>24600000</v>
      </c>
      <c r="J12" s="46">
        <f t="shared" si="0"/>
        <v>156275765</v>
      </c>
    </row>
    <row r="13" spans="2:13" ht="21.75" customHeight="1">
      <c r="B13" s="41">
        <v>10</v>
      </c>
      <c r="C13" s="36" t="s">
        <v>136</v>
      </c>
      <c r="D13" s="37">
        <v>0</v>
      </c>
      <c r="E13" s="47">
        <f>'2010-11'!F19</f>
        <v>174708847</v>
      </c>
      <c r="F13" s="47">
        <f>'2010-11'!G19</f>
        <v>42359253</v>
      </c>
      <c r="G13" s="37">
        <v>0</v>
      </c>
      <c r="H13" s="47">
        <f>'2010-11'!I19</f>
        <v>32562000</v>
      </c>
      <c r="I13" s="47">
        <v>0</v>
      </c>
      <c r="J13" s="46">
        <f t="shared" si="0"/>
        <v>249630100</v>
      </c>
    </row>
    <row r="14" spans="2:13" ht="22.5" customHeight="1">
      <c r="B14" s="58">
        <v>11</v>
      </c>
      <c r="C14" s="36" t="s">
        <v>137</v>
      </c>
      <c r="D14" s="37">
        <v>0</v>
      </c>
      <c r="E14" s="47">
        <f>'2011-12'!G18</f>
        <v>36913680</v>
      </c>
      <c r="F14" s="47">
        <f>'2011-12'!H18</f>
        <v>20440696</v>
      </c>
      <c r="G14" s="37">
        <v>0</v>
      </c>
      <c r="H14" s="47">
        <v>0</v>
      </c>
      <c r="I14" s="47">
        <f>'2011-12'!L18</f>
        <v>3452000</v>
      </c>
      <c r="J14" s="46">
        <f t="shared" si="0"/>
        <v>60806376</v>
      </c>
    </row>
    <row r="15" spans="2:13" ht="23.25" customHeight="1">
      <c r="B15" s="41">
        <v>12</v>
      </c>
      <c r="C15" s="36" t="s">
        <v>138</v>
      </c>
      <c r="D15" s="37">
        <v>0</v>
      </c>
      <c r="E15" s="47">
        <v>0</v>
      </c>
      <c r="F15" s="47">
        <v>0</v>
      </c>
      <c r="G15" s="37">
        <v>0</v>
      </c>
      <c r="H15" s="47">
        <v>0</v>
      </c>
      <c r="I15" s="47">
        <v>0</v>
      </c>
      <c r="J15" s="46">
        <f t="shared" si="0"/>
        <v>0</v>
      </c>
    </row>
    <row r="16" spans="2:13" ht="21" customHeight="1">
      <c r="B16" s="58">
        <v>13</v>
      </c>
      <c r="C16" s="36" t="s">
        <v>139</v>
      </c>
      <c r="D16" s="37">
        <v>0</v>
      </c>
      <c r="E16" s="47">
        <f>'2013-14'!F17</f>
        <v>5851036</v>
      </c>
      <c r="F16" s="47">
        <f>'2013-14'!G17</f>
        <v>4814800</v>
      </c>
      <c r="G16" s="37">
        <v>0</v>
      </c>
      <c r="H16" s="47">
        <v>0</v>
      </c>
      <c r="I16" s="47">
        <f>'2013-14'!K17</f>
        <v>2050000</v>
      </c>
      <c r="J16" s="46">
        <f t="shared" si="0"/>
        <v>12715836</v>
      </c>
    </row>
    <row r="17" spans="2:13" ht="21" customHeight="1">
      <c r="B17" s="41">
        <v>14</v>
      </c>
      <c r="C17" s="36" t="s">
        <v>140</v>
      </c>
      <c r="D17" s="37">
        <v>0</v>
      </c>
      <c r="E17" s="47">
        <f>'2014-15'!F10</f>
        <v>3375725</v>
      </c>
      <c r="F17" s="47">
        <f>'2014-15'!G10</f>
        <v>1628856</v>
      </c>
      <c r="G17" s="37">
        <v>0</v>
      </c>
      <c r="H17" s="47">
        <v>0</v>
      </c>
      <c r="I17" s="47">
        <f>'2014-15'!K10</f>
        <v>963450</v>
      </c>
      <c r="J17" s="46">
        <f t="shared" si="0"/>
        <v>5968031</v>
      </c>
    </row>
    <row r="18" spans="2:13" ht="27.75" customHeight="1" thickBot="1">
      <c r="B18" s="62">
        <v>15</v>
      </c>
      <c r="C18" s="38" t="s">
        <v>191</v>
      </c>
      <c r="D18" s="51">
        <v>0</v>
      </c>
      <c r="E18" s="48">
        <f>'2015-16'!F7</f>
        <v>10405900</v>
      </c>
      <c r="F18" s="48">
        <f>'2015-16'!G7</f>
        <v>26670188</v>
      </c>
      <c r="G18" s="51">
        <v>0</v>
      </c>
      <c r="H18" s="48">
        <v>0</v>
      </c>
      <c r="I18" s="48">
        <f>'2015-16'!K7</f>
        <v>2270000</v>
      </c>
      <c r="J18" s="46">
        <f t="shared" si="0"/>
        <v>39346088</v>
      </c>
    </row>
    <row r="19" spans="2:13" ht="27.75" customHeight="1" thickBot="1">
      <c r="B19" s="395" t="s">
        <v>143</v>
      </c>
      <c r="C19" s="396"/>
      <c r="D19" s="49">
        <f>SUM(D4:D18)</f>
        <v>69250898</v>
      </c>
      <c r="E19" s="49">
        <f t="shared" ref="E19:J19" si="1">SUM(E4:E18)</f>
        <v>773009596</v>
      </c>
      <c r="F19" s="49">
        <f t="shared" si="1"/>
        <v>107532155</v>
      </c>
      <c r="G19" s="49">
        <f t="shared" si="1"/>
        <v>0</v>
      </c>
      <c r="H19" s="49">
        <f t="shared" si="1"/>
        <v>115762000</v>
      </c>
      <c r="I19" s="49">
        <f t="shared" si="1"/>
        <v>43572560</v>
      </c>
      <c r="J19" s="49">
        <f t="shared" si="1"/>
        <v>1109127209</v>
      </c>
    </row>
    <row r="20" spans="2:13">
      <c r="C20" s="50"/>
      <c r="D20" s="50"/>
      <c r="E20" s="50"/>
      <c r="F20" s="50"/>
      <c r="G20" s="50"/>
      <c r="H20" s="50"/>
      <c r="I20" s="50"/>
      <c r="J20" s="50"/>
    </row>
    <row r="25" spans="2:13">
      <c r="M25" s="52"/>
    </row>
    <row r="28" spans="2:13">
      <c r="J28" s="55"/>
    </row>
  </sheetData>
  <mergeCells count="2">
    <mergeCell ref="C2:J2"/>
    <mergeCell ref="B19:C19"/>
  </mergeCells>
  <printOptions horizontalCentered="1"/>
  <pageMargins left="0.15748031496062992" right="0.19685039370078741" top="0.27559055118110237" bottom="0.23622047244094491" header="0.31496062992125984" footer="0.31496062992125984"/>
  <pageSetup paperSize="9" scale="87" orientation="landscape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N17"/>
  <sheetViews>
    <sheetView zoomScaleNormal="100" workbookViewId="0">
      <selection activeCell="D15" sqref="D15"/>
    </sheetView>
  </sheetViews>
  <sheetFormatPr defaultRowHeight="15"/>
  <cols>
    <col min="1" max="1" width="3.85546875" customWidth="1"/>
    <col min="2" max="2" width="14.85546875" customWidth="1"/>
    <col min="3" max="3" width="19.5703125" customWidth="1"/>
    <col min="4" max="4" width="13.85546875" customWidth="1"/>
    <col min="5" max="5" width="14.42578125" customWidth="1"/>
    <col min="6" max="6" width="15.85546875" bestFit="1" customWidth="1"/>
    <col min="7" max="7" width="9.7109375" customWidth="1"/>
    <col min="8" max="8" width="10.140625" customWidth="1"/>
    <col min="9" max="9" width="14.85546875" bestFit="1" customWidth="1"/>
    <col min="10" max="10" width="10.85546875" customWidth="1"/>
    <col min="11" max="11" width="13.140625" bestFit="1" customWidth="1"/>
    <col min="12" max="12" width="12" style="1" customWidth="1"/>
    <col min="13" max="13" width="13.28515625" customWidth="1"/>
    <col min="14" max="14" width="11.140625" customWidth="1"/>
  </cols>
  <sheetData>
    <row r="2" spans="2:14" ht="19.5" thickBot="1">
      <c r="B2" s="288" t="s">
        <v>217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2:14" ht="63.75" thickBot="1">
      <c r="B3" s="2" t="s">
        <v>1</v>
      </c>
      <c r="C3" s="4" t="s">
        <v>223</v>
      </c>
      <c r="D3" s="75" t="s">
        <v>225</v>
      </c>
      <c r="E3" s="75" t="s">
        <v>224</v>
      </c>
      <c r="F3" s="69" t="s">
        <v>3</v>
      </c>
      <c r="G3" s="69" t="s">
        <v>4</v>
      </c>
      <c r="H3" s="25" t="s">
        <v>5</v>
      </c>
      <c r="I3" s="54" t="s">
        <v>6</v>
      </c>
      <c r="J3" s="54" t="s">
        <v>184</v>
      </c>
      <c r="K3" s="25" t="s">
        <v>7</v>
      </c>
      <c r="L3" s="3" t="s">
        <v>8</v>
      </c>
      <c r="M3" s="4" t="s">
        <v>9</v>
      </c>
      <c r="N3" s="4" t="s">
        <v>80</v>
      </c>
    </row>
    <row r="4" spans="2:14" ht="47.25" customHeight="1">
      <c r="B4" s="292" t="s">
        <v>102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4"/>
    </row>
    <row r="5" spans="2:14" ht="45" customHeight="1" thickBot="1">
      <c r="B5" s="295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7"/>
    </row>
    <row r="6" spans="2:14" ht="15.75" thickBot="1">
      <c r="B6" s="298" t="s">
        <v>10</v>
      </c>
      <c r="C6" s="299"/>
      <c r="D6" s="300"/>
      <c r="E6" s="76"/>
      <c r="F6" s="70">
        <f t="shared" ref="F6:L6" si="0">SUM(F4:F5)</f>
        <v>0</v>
      </c>
      <c r="G6" s="64">
        <f t="shared" si="0"/>
        <v>0</v>
      </c>
      <c r="H6" s="64">
        <f t="shared" si="0"/>
        <v>0</v>
      </c>
      <c r="I6" s="64">
        <f t="shared" si="0"/>
        <v>0</v>
      </c>
      <c r="J6" s="64">
        <f t="shared" si="0"/>
        <v>0</v>
      </c>
      <c r="K6" s="70">
        <f t="shared" si="0"/>
        <v>0</v>
      </c>
      <c r="L6" s="64">
        <f t="shared" si="0"/>
        <v>0</v>
      </c>
      <c r="M6" s="66"/>
      <c r="N6" s="14"/>
    </row>
    <row r="7" spans="2:14">
      <c r="F7" t="s">
        <v>201</v>
      </c>
    </row>
    <row r="9" spans="2:14">
      <c r="N9" t="s">
        <v>206</v>
      </c>
    </row>
    <row r="10" spans="2:14">
      <c r="G10" t="s">
        <v>214</v>
      </c>
      <c r="H10" t="s">
        <v>203</v>
      </c>
    </row>
    <row r="11" spans="2:14">
      <c r="F11" t="s">
        <v>202</v>
      </c>
      <c r="H11" t="s">
        <v>207</v>
      </c>
      <c r="K11" t="s">
        <v>204</v>
      </c>
      <c r="M11" t="s">
        <v>210</v>
      </c>
    </row>
    <row r="12" spans="2:14">
      <c r="H12" t="s">
        <v>215</v>
      </c>
    </row>
    <row r="13" spans="2:14">
      <c r="G13" t="s">
        <v>216</v>
      </c>
      <c r="H13" t="s">
        <v>209</v>
      </c>
      <c r="M13" t="s">
        <v>211</v>
      </c>
    </row>
    <row r="14" spans="2:14">
      <c r="K14" t="s">
        <v>213</v>
      </c>
      <c r="M14" t="s">
        <v>205</v>
      </c>
    </row>
    <row r="15" spans="2:14">
      <c r="I15" t="s">
        <v>208</v>
      </c>
    </row>
    <row r="17" spans="13:13">
      <c r="M17" t="s">
        <v>212</v>
      </c>
    </row>
  </sheetData>
  <mergeCells count="3">
    <mergeCell ref="B4:N5"/>
    <mergeCell ref="B2:N2"/>
    <mergeCell ref="B6:D6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N17"/>
  <sheetViews>
    <sheetView zoomScaleNormal="100" workbookViewId="0">
      <selection activeCell="K9" sqref="K9"/>
    </sheetView>
  </sheetViews>
  <sheetFormatPr defaultRowHeight="15"/>
  <cols>
    <col min="1" max="1" width="2.140625" customWidth="1"/>
    <col min="2" max="2" width="12.5703125" customWidth="1"/>
    <col min="3" max="3" width="17.7109375" customWidth="1"/>
    <col min="4" max="4" width="13.85546875" customWidth="1"/>
    <col min="5" max="5" width="14.42578125" customWidth="1"/>
    <col min="6" max="6" width="20.42578125" bestFit="1" customWidth="1"/>
    <col min="7" max="7" width="9.7109375" customWidth="1"/>
    <col min="8" max="8" width="10.140625" customWidth="1"/>
    <col min="9" max="9" width="15" customWidth="1"/>
    <col min="10" max="10" width="10.85546875" customWidth="1"/>
    <col min="11" max="11" width="15.42578125" customWidth="1"/>
    <col min="12" max="12" width="15.140625" style="1" customWidth="1"/>
    <col min="13" max="13" width="13.5703125" customWidth="1"/>
    <col min="14" max="14" width="11.140625" customWidth="1"/>
  </cols>
  <sheetData>
    <row r="2" spans="2:14" ht="19.5" thickBot="1">
      <c r="B2" s="288" t="s">
        <v>200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</row>
    <row r="3" spans="2:14" ht="63.75" thickBot="1">
      <c r="B3" s="2" t="s">
        <v>1</v>
      </c>
      <c r="C3" s="4" t="s">
        <v>221</v>
      </c>
      <c r="D3" s="75" t="s">
        <v>225</v>
      </c>
      <c r="E3" s="75" t="s">
        <v>224</v>
      </c>
      <c r="F3" s="69" t="s">
        <v>3</v>
      </c>
      <c r="G3" s="108" t="s">
        <v>4</v>
      </c>
      <c r="H3" s="25" t="s">
        <v>5</v>
      </c>
      <c r="I3" s="54" t="s">
        <v>6</v>
      </c>
      <c r="J3" s="54" t="s">
        <v>184</v>
      </c>
      <c r="K3" s="25" t="s">
        <v>7</v>
      </c>
      <c r="L3" s="3" t="s">
        <v>8</v>
      </c>
      <c r="M3" s="4" t="s">
        <v>9</v>
      </c>
      <c r="N3" s="4" t="s">
        <v>80</v>
      </c>
    </row>
    <row r="4" spans="2:14" ht="41.25" customHeight="1">
      <c r="B4" s="96" t="s">
        <v>16</v>
      </c>
      <c r="C4" s="109" t="s">
        <v>228</v>
      </c>
      <c r="D4" s="12" t="s">
        <v>229</v>
      </c>
      <c r="E4" s="106">
        <v>302.49</v>
      </c>
      <c r="F4" s="180">
        <v>175444200</v>
      </c>
      <c r="G4" s="177">
        <v>0</v>
      </c>
      <c r="H4" s="178">
        <v>0</v>
      </c>
      <c r="I4" s="179">
        <v>34100000</v>
      </c>
      <c r="J4" s="180">
        <v>0</v>
      </c>
      <c r="K4" s="180">
        <v>5845000</v>
      </c>
      <c r="L4" s="180">
        <f>SUM(F4:K4)</f>
        <v>215389200</v>
      </c>
      <c r="M4" s="12"/>
      <c r="N4" s="107"/>
    </row>
    <row r="5" spans="2:14" ht="45" customHeight="1" thickBot="1">
      <c r="B5" s="92" t="s">
        <v>20</v>
      </c>
      <c r="C5" s="68" t="s">
        <v>226</v>
      </c>
      <c r="D5" s="163" t="s">
        <v>302</v>
      </c>
      <c r="E5" s="114">
        <v>8.1319999999999997</v>
      </c>
      <c r="F5" s="186">
        <v>5163820</v>
      </c>
      <c r="G5" s="181">
        <v>0</v>
      </c>
      <c r="H5" s="182">
        <v>0</v>
      </c>
      <c r="I5" s="182">
        <v>0</v>
      </c>
      <c r="J5" s="182">
        <v>0</v>
      </c>
      <c r="K5" s="182">
        <v>0</v>
      </c>
      <c r="L5" s="186">
        <f>SUM(F5:K5)</f>
        <v>5163820</v>
      </c>
      <c r="M5" s="115"/>
      <c r="N5" s="116"/>
    </row>
    <row r="6" spans="2:14" s="1" customFormat="1" ht="29.25" customHeight="1" thickBot="1">
      <c r="B6" s="289" t="s">
        <v>10</v>
      </c>
      <c r="C6" s="290"/>
      <c r="D6" s="291"/>
      <c r="E6" s="117">
        <f>SUM(E4:E5)</f>
        <v>310.62200000000001</v>
      </c>
      <c r="F6" s="183">
        <f t="shared" ref="F6:K6" si="0">SUM(F4:F5)</f>
        <v>180608020</v>
      </c>
      <c r="G6" s="184">
        <f t="shared" si="0"/>
        <v>0</v>
      </c>
      <c r="H6" s="185">
        <f t="shared" si="0"/>
        <v>0</v>
      </c>
      <c r="I6" s="183">
        <f t="shared" si="0"/>
        <v>34100000</v>
      </c>
      <c r="J6" s="183">
        <f t="shared" si="0"/>
        <v>0</v>
      </c>
      <c r="K6" s="183">
        <f t="shared" si="0"/>
        <v>5845000</v>
      </c>
      <c r="L6" s="183">
        <f>SUM(L4:L5)</f>
        <v>220553020</v>
      </c>
      <c r="M6" s="95"/>
      <c r="N6" s="81"/>
    </row>
    <row r="7" spans="2:14">
      <c r="F7" t="s">
        <v>201</v>
      </c>
    </row>
    <row r="9" spans="2:14">
      <c r="N9" t="s">
        <v>206</v>
      </c>
    </row>
    <row r="10" spans="2:14">
      <c r="F10" s="90"/>
      <c r="G10" t="s">
        <v>214</v>
      </c>
      <c r="H10" t="s">
        <v>203</v>
      </c>
    </row>
    <row r="11" spans="2:14">
      <c r="F11" t="s">
        <v>222</v>
      </c>
      <c r="H11" t="s">
        <v>207</v>
      </c>
      <c r="K11" t="s">
        <v>204</v>
      </c>
      <c r="M11" t="s">
        <v>210</v>
      </c>
    </row>
    <row r="12" spans="2:14">
      <c r="H12" t="s">
        <v>215</v>
      </c>
    </row>
    <row r="13" spans="2:14">
      <c r="G13" t="s">
        <v>216</v>
      </c>
      <c r="H13" t="s">
        <v>209</v>
      </c>
      <c r="M13" t="s">
        <v>211</v>
      </c>
    </row>
    <row r="14" spans="2:14">
      <c r="K14" t="s">
        <v>213</v>
      </c>
      <c r="M14" t="s">
        <v>205</v>
      </c>
    </row>
    <row r="15" spans="2:14">
      <c r="I15" t="s">
        <v>208</v>
      </c>
    </row>
    <row r="17" spans="13:13">
      <c r="M17" t="s">
        <v>212</v>
      </c>
    </row>
  </sheetData>
  <mergeCells count="2">
    <mergeCell ref="B2:M2"/>
    <mergeCell ref="B6:D6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  <ignoredErrors>
    <ignoredError sqref="L4:L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B2:N9"/>
  <sheetViews>
    <sheetView zoomScaleNormal="100" workbookViewId="0">
      <selection activeCell="J12" sqref="J12"/>
    </sheetView>
  </sheetViews>
  <sheetFormatPr defaultRowHeight="15"/>
  <cols>
    <col min="1" max="1" width="3.140625" customWidth="1"/>
    <col min="2" max="2" width="14.85546875" customWidth="1"/>
    <col min="3" max="3" width="19.5703125" customWidth="1"/>
    <col min="4" max="4" width="13.85546875" customWidth="1"/>
    <col min="5" max="5" width="14.42578125" customWidth="1"/>
    <col min="6" max="6" width="17.42578125" bestFit="1" customWidth="1"/>
    <col min="7" max="7" width="9.7109375" customWidth="1"/>
    <col min="8" max="8" width="10.140625" customWidth="1"/>
    <col min="9" max="9" width="16" bestFit="1" customWidth="1"/>
    <col min="10" max="10" width="10.85546875" customWidth="1"/>
    <col min="11" max="11" width="9.85546875" bestFit="1" customWidth="1"/>
    <col min="12" max="12" width="15.85546875" style="1" bestFit="1" customWidth="1"/>
    <col min="13" max="13" width="14.140625" customWidth="1"/>
    <col min="14" max="14" width="11.140625" customWidth="1"/>
  </cols>
  <sheetData>
    <row r="2" spans="2:14" ht="19.5" thickBot="1">
      <c r="B2" s="288" t="s">
        <v>199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</row>
    <row r="3" spans="2:14" ht="48" thickBot="1">
      <c r="B3" s="2" t="s">
        <v>1</v>
      </c>
      <c r="C3" s="3" t="s">
        <v>2</v>
      </c>
      <c r="D3" s="75" t="s">
        <v>225</v>
      </c>
      <c r="E3" s="75" t="s">
        <v>224</v>
      </c>
      <c r="F3" s="25" t="s">
        <v>3</v>
      </c>
      <c r="G3" s="25" t="s">
        <v>4</v>
      </c>
      <c r="H3" s="25" t="s">
        <v>5</v>
      </c>
      <c r="I3" s="54" t="s">
        <v>6</v>
      </c>
      <c r="J3" s="54" t="s">
        <v>184</v>
      </c>
      <c r="K3" s="25" t="s">
        <v>7</v>
      </c>
      <c r="L3" s="3" t="s">
        <v>8</v>
      </c>
      <c r="M3" s="4" t="s">
        <v>9</v>
      </c>
      <c r="N3" s="4" t="s">
        <v>80</v>
      </c>
    </row>
    <row r="4" spans="2:14" ht="45">
      <c r="B4" s="96" t="s">
        <v>196</v>
      </c>
      <c r="C4" s="15" t="s">
        <v>195</v>
      </c>
      <c r="D4" s="12" t="s">
        <v>300</v>
      </c>
      <c r="E4" s="106">
        <v>0.1172</v>
      </c>
      <c r="F4" s="173">
        <v>67976</v>
      </c>
      <c r="G4" s="173">
        <v>0</v>
      </c>
      <c r="H4" s="173">
        <v>0</v>
      </c>
      <c r="I4" s="173">
        <v>0</v>
      </c>
      <c r="J4" s="173">
        <v>0</v>
      </c>
      <c r="K4" s="173">
        <v>0</v>
      </c>
      <c r="L4" s="173">
        <f>SUM(F4:K4)</f>
        <v>67976</v>
      </c>
      <c r="M4" s="12"/>
      <c r="N4" s="107"/>
    </row>
    <row r="5" spans="2:14" ht="45" customHeight="1">
      <c r="B5" s="97" t="s">
        <v>12</v>
      </c>
      <c r="C5" s="28" t="s">
        <v>197</v>
      </c>
      <c r="D5" s="28" t="s">
        <v>230</v>
      </c>
      <c r="E5" s="111">
        <v>14.7</v>
      </c>
      <c r="F5" s="174">
        <v>8526000</v>
      </c>
      <c r="G5" s="174">
        <v>0</v>
      </c>
      <c r="H5" s="174">
        <v>0</v>
      </c>
      <c r="I5" s="174">
        <v>0</v>
      </c>
      <c r="J5" s="174">
        <v>0</v>
      </c>
      <c r="K5" s="174">
        <v>0</v>
      </c>
      <c r="L5" s="174">
        <f>SUM(F5:K5)</f>
        <v>8526000</v>
      </c>
      <c r="M5" s="63"/>
      <c r="N5" s="112"/>
    </row>
    <row r="6" spans="2:14" ht="36" customHeight="1" thickBot="1">
      <c r="B6" s="93" t="s">
        <v>20</v>
      </c>
      <c r="C6" s="118" t="s">
        <v>198</v>
      </c>
      <c r="D6" s="83" t="s">
        <v>301</v>
      </c>
      <c r="E6" s="94">
        <v>342.95</v>
      </c>
      <c r="F6" s="175">
        <v>196069000</v>
      </c>
      <c r="G6" s="175">
        <v>0</v>
      </c>
      <c r="H6" s="175">
        <v>0</v>
      </c>
      <c r="I6" s="175">
        <v>49100000</v>
      </c>
      <c r="J6" s="175">
        <v>0</v>
      </c>
      <c r="K6" s="175">
        <v>0</v>
      </c>
      <c r="L6" s="175">
        <f>SUM(F6:K6)</f>
        <v>245169000</v>
      </c>
      <c r="M6" s="118"/>
      <c r="N6" s="79"/>
    </row>
    <row r="7" spans="2:14" s="119" customFormat="1" ht="31.5" customHeight="1" thickBot="1">
      <c r="B7" s="289" t="s">
        <v>10</v>
      </c>
      <c r="C7" s="290"/>
      <c r="D7" s="291"/>
      <c r="E7" s="120">
        <f>SUM(E4:E6)</f>
        <v>357.7672</v>
      </c>
      <c r="F7" s="64">
        <f t="shared" ref="F7:K7" si="0">SUM(F4:F6)</f>
        <v>204662976</v>
      </c>
      <c r="G7" s="64">
        <f t="shared" si="0"/>
        <v>0</v>
      </c>
      <c r="H7" s="64">
        <f t="shared" si="0"/>
        <v>0</v>
      </c>
      <c r="I7" s="64">
        <f>SUM(I4:I6)</f>
        <v>49100000</v>
      </c>
      <c r="J7" s="64">
        <f t="shared" si="0"/>
        <v>0</v>
      </c>
      <c r="K7" s="64">
        <f t="shared" si="0"/>
        <v>0</v>
      </c>
      <c r="L7" s="64">
        <f>SUM(L4:L6)</f>
        <v>253762976</v>
      </c>
      <c r="M7" s="95"/>
      <c r="N7" s="121"/>
    </row>
    <row r="9" spans="2:14">
      <c r="N9" t="s">
        <v>206</v>
      </c>
    </row>
  </sheetData>
  <mergeCells count="2">
    <mergeCell ref="B2:M2"/>
    <mergeCell ref="B7:D7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  <colBreaks count="1" manualBreakCount="1">
    <brk id="14" max="1048575" man="1"/>
  </colBreaks>
  <ignoredErrors>
    <ignoredError sqref="L4:L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B2:O21"/>
  <sheetViews>
    <sheetView zoomScaleNormal="100" workbookViewId="0">
      <selection activeCell="P8" sqref="P8"/>
    </sheetView>
  </sheetViews>
  <sheetFormatPr defaultRowHeight="15"/>
  <cols>
    <col min="1" max="1" width="3" customWidth="1"/>
    <col min="2" max="2" width="14.85546875" customWidth="1"/>
    <col min="3" max="3" width="19.5703125" customWidth="1"/>
    <col min="4" max="4" width="14.5703125" style="1" customWidth="1"/>
    <col min="5" max="5" width="14.42578125" customWidth="1"/>
    <col min="6" max="6" width="14.85546875" style="155" bestFit="1" customWidth="1"/>
    <col min="7" max="7" width="10" style="155" customWidth="1"/>
    <col min="8" max="8" width="10.140625" customWidth="1"/>
    <col min="9" max="9" width="9.28515625" bestFit="1" customWidth="1"/>
    <col min="10" max="10" width="10.85546875" customWidth="1"/>
    <col min="11" max="11" width="13" style="155" bestFit="1" customWidth="1"/>
    <col min="12" max="12" width="14.85546875" style="152" bestFit="1" customWidth="1"/>
    <col min="13" max="13" width="14.42578125" hidden="1" customWidth="1"/>
    <col min="14" max="14" width="14.42578125" customWidth="1"/>
    <col min="15" max="15" width="11.140625" customWidth="1"/>
  </cols>
  <sheetData>
    <row r="2" spans="2:15" ht="19.5" thickBot="1">
      <c r="B2" s="288" t="s">
        <v>0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67"/>
    </row>
    <row r="3" spans="2:15" ht="48" thickBot="1">
      <c r="B3" s="2" t="s">
        <v>1</v>
      </c>
      <c r="C3" s="3" t="s">
        <v>2</v>
      </c>
      <c r="D3" s="82" t="s">
        <v>225</v>
      </c>
      <c r="E3" s="75" t="s">
        <v>224</v>
      </c>
      <c r="F3" s="153" t="s">
        <v>3</v>
      </c>
      <c r="G3" s="153" t="s">
        <v>4</v>
      </c>
      <c r="H3" s="25" t="s">
        <v>5</v>
      </c>
      <c r="I3" s="54" t="s">
        <v>6</v>
      </c>
      <c r="J3" s="54" t="s">
        <v>184</v>
      </c>
      <c r="K3" s="153" t="s">
        <v>7</v>
      </c>
      <c r="L3" s="148" t="s">
        <v>8</v>
      </c>
      <c r="M3" s="4" t="s">
        <v>9</v>
      </c>
      <c r="N3" s="4" t="s">
        <v>339</v>
      </c>
      <c r="O3" s="4" t="s">
        <v>80</v>
      </c>
    </row>
    <row r="4" spans="2:15" ht="60">
      <c r="B4" s="104" t="s">
        <v>12</v>
      </c>
      <c r="C4" s="15" t="s">
        <v>13</v>
      </c>
      <c r="D4" s="245" t="s">
        <v>231</v>
      </c>
      <c r="E4" s="106">
        <v>0.60699999999999998</v>
      </c>
      <c r="F4" s="110">
        <v>352060</v>
      </c>
      <c r="G4" s="110">
        <v>0</v>
      </c>
      <c r="H4" s="110">
        <v>0</v>
      </c>
      <c r="I4" s="176">
        <v>0</v>
      </c>
      <c r="J4" s="110">
        <v>0</v>
      </c>
      <c r="K4" s="110">
        <v>0</v>
      </c>
      <c r="L4" s="110">
        <f>SUM(F4:K4)</f>
        <v>352060</v>
      </c>
      <c r="M4" s="12" t="s">
        <v>154</v>
      </c>
      <c r="N4" s="314" t="s">
        <v>307</v>
      </c>
      <c r="O4" s="107"/>
    </row>
    <row r="5" spans="2:15" ht="45" customHeight="1">
      <c r="B5" s="103" t="s">
        <v>14</v>
      </c>
      <c r="C5" s="305" t="s">
        <v>22</v>
      </c>
      <c r="D5" s="305" t="s">
        <v>232</v>
      </c>
      <c r="E5" s="309">
        <v>10.0664</v>
      </c>
      <c r="F5" s="306">
        <v>5838512</v>
      </c>
      <c r="G5" s="306">
        <v>0</v>
      </c>
      <c r="H5" s="306">
        <v>0</v>
      </c>
      <c r="I5" s="306">
        <v>0</v>
      </c>
      <c r="J5" s="306">
        <v>0</v>
      </c>
      <c r="K5" s="306">
        <v>575110</v>
      </c>
      <c r="L5" s="306">
        <f>SUM(F5:K5)</f>
        <v>6413622</v>
      </c>
      <c r="M5" s="307" t="s">
        <v>155</v>
      </c>
      <c r="N5" s="301"/>
      <c r="O5" s="311"/>
    </row>
    <row r="6" spans="2:15" ht="21.75" customHeight="1">
      <c r="B6" s="103" t="s">
        <v>15</v>
      </c>
      <c r="C6" s="302"/>
      <c r="D6" s="302"/>
      <c r="E6" s="310"/>
      <c r="F6" s="304"/>
      <c r="G6" s="304"/>
      <c r="H6" s="304"/>
      <c r="I6" s="304"/>
      <c r="J6" s="304"/>
      <c r="K6" s="304"/>
      <c r="L6" s="304"/>
      <c r="M6" s="308"/>
      <c r="N6" s="301"/>
      <c r="O6" s="312"/>
    </row>
    <row r="7" spans="2:15" ht="18" customHeight="1">
      <c r="B7" s="98" t="s">
        <v>16</v>
      </c>
      <c r="C7" s="301" t="s">
        <v>19</v>
      </c>
      <c r="D7" s="315" t="s">
        <v>233</v>
      </c>
      <c r="E7" s="319">
        <v>18.530999999999999</v>
      </c>
      <c r="F7" s="303">
        <v>10747980</v>
      </c>
      <c r="G7" s="303">
        <v>0</v>
      </c>
      <c r="H7" s="303">
        <v>0</v>
      </c>
      <c r="I7" s="303">
        <v>0</v>
      </c>
      <c r="J7" s="303">
        <v>0</v>
      </c>
      <c r="K7" s="303">
        <v>0</v>
      </c>
      <c r="L7" s="303">
        <f>SUM(F7:K7)</f>
        <v>10747980</v>
      </c>
      <c r="M7" s="301"/>
      <c r="N7" s="301"/>
      <c r="O7" s="313" t="s">
        <v>206</v>
      </c>
    </row>
    <row r="8" spans="2:15">
      <c r="B8" s="103" t="s">
        <v>17</v>
      </c>
      <c r="C8" s="301"/>
      <c r="D8" s="315"/>
      <c r="E8" s="319"/>
      <c r="F8" s="303"/>
      <c r="G8" s="303"/>
      <c r="H8" s="303"/>
      <c r="I8" s="303"/>
      <c r="J8" s="303"/>
      <c r="K8" s="303"/>
      <c r="L8" s="303"/>
      <c r="M8" s="301"/>
      <c r="N8" s="301"/>
      <c r="O8" s="313"/>
    </row>
    <row r="9" spans="2:15">
      <c r="B9" s="103" t="s">
        <v>18</v>
      </c>
      <c r="C9" s="302"/>
      <c r="D9" s="316"/>
      <c r="E9" s="310"/>
      <c r="F9" s="304"/>
      <c r="G9" s="304"/>
      <c r="H9" s="304"/>
      <c r="I9" s="304"/>
      <c r="J9" s="304"/>
      <c r="K9" s="304"/>
      <c r="L9" s="304"/>
      <c r="M9" s="302"/>
      <c r="N9" s="301"/>
      <c r="O9" s="312"/>
    </row>
    <row r="10" spans="2:15" ht="15" customHeight="1">
      <c r="B10" s="98" t="s">
        <v>40</v>
      </c>
      <c r="C10" s="301" t="s">
        <v>23</v>
      </c>
      <c r="D10" s="301" t="s">
        <v>234</v>
      </c>
      <c r="E10" s="319">
        <v>47.881999999999998</v>
      </c>
      <c r="F10" s="303">
        <v>28709879</v>
      </c>
      <c r="G10" s="303">
        <v>0</v>
      </c>
      <c r="H10" s="303">
        <v>0</v>
      </c>
      <c r="I10" s="303">
        <v>0</v>
      </c>
      <c r="J10" s="303">
        <v>0</v>
      </c>
      <c r="K10" s="303">
        <v>0</v>
      </c>
      <c r="L10" s="303">
        <f>SUM(F10:K10)</f>
        <v>28709879</v>
      </c>
      <c r="M10" s="301" t="s">
        <v>156</v>
      </c>
      <c r="N10" s="301"/>
      <c r="O10" s="313"/>
    </row>
    <row r="11" spans="2:15" ht="21.75" customHeight="1">
      <c r="B11" s="103" t="s">
        <v>20</v>
      </c>
      <c r="C11" s="301"/>
      <c r="D11" s="301"/>
      <c r="E11" s="319"/>
      <c r="F11" s="303"/>
      <c r="G11" s="303"/>
      <c r="H11" s="303"/>
      <c r="I11" s="303"/>
      <c r="J11" s="303"/>
      <c r="K11" s="303"/>
      <c r="L11" s="303"/>
      <c r="M11" s="301"/>
      <c r="N11" s="301"/>
      <c r="O11" s="313"/>
    </row>
    <row r="12" spans="2:15" ht="27.75" customHeight="1">
      <c r="B12" s="7" t="s">
        <v>21</v>
      </c>
      <c r="C12" s="302"/>
      <c r="D12" s="302"/>
      <c r="E12" s="310"/>
      <c r="F12" s="304"/>
      <c r="G12" s="304"/>
      <c r="H12" s="304"/>
      <c r="I12" s="304"/>
      <c r="J12" s="304"/>
      <c r="K12" s="304"/>
      <c r="L12" s="304"/>
      <c r="M12" s="302"/>
      <c r="N12" s="301"/>
      <c r="O12" s="312"/>
    </row>
    <row r="13" spans="2:15">
      <c r="B13" s="98" t="s">
        <v>24</v>
      </c>
      <c r="C13" s="301" t="s">
        <v>27</v>
      </c>
      <c r="D13" s="315" t="s">
        <v>235</v>
      </c>
      <c r="E13" s="315">
        <v>35.633000000000003</v>
      </c>
      <c r="F13" s="303">
        <v>20667140</v>
      </c>
      <c r="G13" s="303">
        <v>0</v>
      </c>
      <c r="H13" s="303">
        <v>0</v>
      </c>
      <c r="I13" s="303">
        <v>0</v>
      </c>
      <c r="J13" s="303">
        <v>0</v>
      </c>
      <c r="K13" s="303">
        <v>0</v>
      </c>
      <c r="L13" s="303">
        <f>SUM(F13:K13)</f>
        <v>20667140</v>
      </c>
      <c r="M13" s="317"/>
      <c r="N13" s="301"/>
      <c r="O13" s="313"/>
    </row>
    <row r="14" spans="2:15">
      <c r="B14" s="103" t="s">
        <v>25</v>
      </c>
      <c r="C14" s="301"/>
      <c r="D14" s="315"/>
      <c r="E14" s="315"/>
      <c r="F14" s="303"/>
      <c r="G14" s="303"/>
      <c r="H14" s="303"/>
      <c r="I14" s="303"/>
      <c r="J14" s="303"/>
      <c r="K14" s="303"/>
      <c r="L14" s="303"/>
      <c r="M14" s="317"/>
      <c r="N14" s="301"/>
      <c r="O14" s="313"/>
    </row>
    <row r="15" spans="2:15">
      <c r="B15" s="103" t="s">
        <v>26</v>
      </c>
      <c r="C15" s="302"/>
      <c r="D15" s="316"/>
      <c r="E15" s="316"/>
      <c r="F15" s="304"/>
      <c r="G15" s="304"/>
      <c r="H15" s="304"/>
      <c r="I15" s="304"/>
      <c r="J15" s="304"/>
      <c r="K15" s="304"/>
      <c r="L15" s="304"/>
      <c r="M15" s="318"/>
      <c r="N15" s="302"/>
      <c r="O15" s="312"/>
    </row>
    <row r="16" spans="2:15" ht="120">
      <c r="B16" s="144" t="s">
        <v>28</v>
      </c>
      <c r="C16" s="100" t="s">
        <v>29</v>
      </c>
      <c r="D16" s="162" t="s">
        <v>236</v>
      </c>
      <c r="E16" s="145">
        <v>0.1676</v>
      </c>
      <c r="F16" s="151">
        <v>97200</v>
      </c>
      <c r="G16" s="151">
        <v>10000</v>
      </c>
      <c r="H16" s="151">
        <v>0</v>
      </c>
      <c r="I16" s="151">
        <v>0</v>
      </c>
      <c r="J16" s="151">
        <v>0</v>
      </c>
      <c r="K16" s="151">
        <v>0</v>
      </c>
      <c r="L16" s="151">
        <f t="shared" ref="L16:L20" si="0">SUM(F16:K16)</f>
        <v>107200</v>
      </c>
      <c r="M16" s="100" t="s">
        <v>157</v>
      </c>
      <c r="N16" s="255" t="s">
        <v>308</v>
      </c>
      <c r="O16" s="143"/>
    </row>
    <row r="17" spans="2:15" ht="120">
      <c r="B17" s="124" t="s">
        <v>30</v>
      </c>
      <c r="C17" s="100" t="s">
        <v>31</v>
      </c>
      <c r="D17" s="162" t="s">
        <v>237</v>
      </c>
      <c r="E17" s="142">
        <v>0.99</v>
      </c>
      <c r="F17" s="151">
        <v>574200</v>
      </c>
      <c r="G17" s="151">
        <v>1533</v>
      </c>
      <c r="H17" s="151">
        <v>0</v>
      </c>
      <c r="I17" s="151">
        <v>0</v>
      </c>
      <c r="J17" s="151">
        <v>0</v>
      </c>
      <c r="K17" s="151">
        <v>0</v>
      </c>
      <c r="L17" s="151">
        <f t="shared" si="0"/>
        <v>575733</v>
      </c>
      <c r="M17" s="100" t="s">
        <v>158</v>
      </c>
      <c r="N17" s="255" t="s">
        <v>308</v>
      </c>
      <c r="O17" s="143"/>
    </row>
    <row r="18" spans="2:15" ht="120">
      <c r="B18" s="100" t="s">
        <v>32</v>
      </c>
      <c r="C18" s="100" t="s">
        <v>33</v>
      </c>
      <c r="D18" s="162" t="s">
        <v>238</v>
      </c>
      <c r="E18" s="142">
        <v>0.94799999999999995</v>
      </c>
      <c r="F18" s="151">
        <v>551000</v>
      </c>
      <c r="G18" s="151">
        <v>25025</v>
      </c>
      <c r="H18" s="151">
        <v>0</v>
      </c>
      <c r="I18" s="151">
        <v>0</v>
      </c>
      <c r="J18" s="151">
        <v>0</v>
      </c>
      <c r="K18" s="151">
        <v>0</v>
      </c>
      <c r="L18" s="151">
        <f t="shared" si="0"/>
        <v>576025</v>
      </c>
      <c r="M18" s="100" t="s">
        <v>159</v>
      </c>
      <c r="N18" s="255" t="s">
        <v>308</v>
      </c>
      <c r="O18" s="143"/>
    </row>
    <row r="19" spans="2:15" ht="120.75" thickBot="1">
      <c r="B19" s="7" t="s">
        <v>34</v>
      </c>
      <c r="C19" s="7" t="s">
        <v>35</v>
      </c>
      <c r="D19" s="234" t="s">
        <v>239</v>
      </c>
      <c r="E19" s="158">
        <v>0.39979999999999999</v>
      </c>
      <c r="F19" s="154">
        <v>232000</v>
      </c>
      <c r="G19" s="154">
        <v>25025</v>
      </c>
      <c r="H19" s="154">
        <v>0</v>
      </c>
      <c r="I19" s="154">
        <v>0</v>
      </c>
      <c r="J19" s="154">
        <v>0</v>
      </c>
      <c r="K19" s="154">
        <v>0</v>
      </c>
      <c r="L19" s="154">
        <f t="shared" si="0"/>
        <v>257025</v>
      </c>
      <c r="M19" s="7" t="s">
        <v>160</v>
      </c>
      <c r="N19" s="255" t="s">
        <v>308</v>
      </c>
      <c r="O19" s="78"/>
    </row>
    <row r="20" spans="2:15" ht="60.75" thickBot="1">
      <c r="B20" s="99" t="s">
        <v>28</v>
      </c>
      <c r="C20" s="105" t="s">
        <v>36</v>
      </c>
      <c r="D20" s="233" t="s">
        <v>240</v>
      </c>
      <c r="E20" s="252">
        <v>0.13320000000000001</v>
      </c>
      <c r="F20" s="151">
        <v>77256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L20" s="151">
        <f t="shared" si="0"/>
        <v>77256</v>
      </c>
      <c r="M20" s="101" t="s">
        <v>161</v>
      </c>
      <c r="N20" s="164" t="s">
        <v>307</v>
      </c>
      <c r="O20" s="14"/>
    </row>
    <row r="21" spans="2:15" s="1" customFormat="1" ht="36.75" customHeight="1" thickBot="1">
      <c r="B21" s="289" t="s">
        <v>10</v>
      </c>
      <c r="C21" s="290"/>
      <c r="D21" s="291"/>
      <c r="E21" s="156">
        <f>SUM(E4:E20)</f>
        <v>115.35799999999999</v>
      </c>
      <c r="F21" s="64">
        <f>SUM(F4:F20)</f>
        <v>67847227</v>
      </c>
      <c r="G21" s="64">
        <f t="shared" ref="G21:K21" si="1">SUM(G4:G20)</f>
        <v>61583</v>
      </c>
      <c r="H21" s="64">
        <f t="shared" si="1"/>
        <v>0</v>
      </c>
      <c r="I21" s="64">
        <f t="shared" si="1"/>
        <v>0</v>
      </c>
      <c r="J21" s="64">
        <f t="shared" si="1"/>
        <v>0</v>
      </c>
      <c r="K21" s="64">
        <f t="shared" si="1"/>
        <v>575110</v>
      </c>
      <c r="L21" s="64">
        <f>SUM(L4:L20)</f>
        <v>68483920</v>
      </c>
      <c r="M21" s="102"/>
      <c r="N21" s="268"/>
      <c r="O21" s="84"/>
    </row>
  </sheetData>
  <mergeCells count="51">
    <mergeCell ref="I13:I15"/>
    <mergeCell ref="D13:D15"/>
    <mergeCell ref="E13:E15"/>
    <mergeCell ref="M7:M9"/>
    <mergeCell ref="J7:J9"/>
    <mergeCell ref="M13:M15"/>
    <mergeCell ref="I7:I9"/>
    <mergeCell ref="D7:D9"/>
    <mergeCell ref="E7:E9"/>
    <mergeCell ref="F10:F12"/>
    <mergeCell ref="G10:G12"/>
    <mergeCell ref="H10:H12"/>
    <mergeCell ref="I10:I12"/>
    <mergeCell ref="D10:D12"/>
    <mergeCell ref="E10:E12"/>
    <mergeCell ref="O5:O6"/>
    <mergeCell ref="O7:O9"/>
    <mergeCell ref="O10:O12"/>
    <mergeCell ref="O13:O15"/>
    <mergeCell ref="J13:J15"/>
    <mergeCell ref="L13:L15"/>
    <mergeCell ref="M10:M12"/>
    <mergeCell ref="J10:J12"/>
    <mergeCell ref="K10:K12"/>
    <mergeCell ref="K13:K15"/>
    <mergeCell ref="K7:K9"/>
    <mergeCell ref="L7:L9"/>
    <mergeCell ref="L10:L12"/>
    <mergeCell ref="N4:N15"/>
    <mergeCell ref="B2:M2"/>
    <mergeCell ref="C5:C6"/>
    <mergeCell ref="F5:F6"/>
    <mergeCell ref="G5:G6"/>
    <mergeCell ref="H5:H6"/>
    <mergeCell ref="I5:I6"/>
    <mergeCell ref="J5:J6"/>
    <mergeCell ref="K5:K6"/>
    <mergeCell ref="M5:M6"/>
    <mergeCell ref="D5:D6"/>
    <mergeCell ref="E5:E6"/>
    <mergeCell ref="L5:L6"/>
    <mergeCell ref="B21:D21"/>
    <mergeCell ref="C7:C9"/>
    <mergeCell ref="F7:F9"/>
    <mergeCell ref="G7:G9"/>
    <mergeCell ref="H7:H9"/>
    <mergeCell ref="C13:C15"/>
    <mergeCell ref="F13:F15"/>
    <mergeCell ref="G13:G15"/>
    <mergeCell ref="H13:H15"/>
    <mergeCell ref="C10:C12"/>
  </mergeCells>
  <pageMargins left="0.70866141732283472" right="0.15748031496062992" top="0.35433070866141736" bottom="0.23622047244094491" header="0.31496062992125984" footer="0.31496062992125984"/>
  <pageSetup paperSize="9" scale="75" orientation="landscape" verticalDpi="0" r:id="rId1"/>
  <ignoredErrors>
    <ignoredError sqref="L4:L5 L7 L10 L13 L16:L2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B2:O8"/>
  <sheetViews>
    <sheetView topLeftCell="C1" workbookViewId="0">
      <selection activeCell="N3" sqref="N3"/>
    </sheetView>
  </sheetViews>
  <sheetFormatPr defaultRowHeight="15"/>
  <cols>
    <col min="1" max="1" width="2.140625" customWidth="1"/>
    <col min="2" max="2" width="14.85546875" customWidth="1"/>
    <col min="3" max="3" width="19.5703125" customWidth="1"/>
    <col min="4" max="4" width="15.5703125" style="1" customWidth="1"/>
    <col min="5" max="5" width="14.42578125" customWidth="1"/>
    <col min="6" max="6" width="14.85546875" bestFit="1" customWidth="1"/>
    <col min="7" max="7" width="13.140625" bestFit="1" customWidth="1"/>
    <col min="8" max="8" width="10.140625" customWidth="1"/>
    <col min="9" max="9" width="10.85546875" customWidth="1"/>
    <col min="11" max="11" width="13.140625" bestFit="1" customWidth="1"/>
    <col min="12" max="12" width="14.85546875" bestFit="1" customWidth="1"/>
    <col min="13" max="13" width="13.28515625" style="1" hidden="1" customWidth="1"/>
    <col min="14" max="14" width="14.28515625" style="1" customWidth="1"/>
    <col min="15" max="15" width="12.7109375" customWidth="1"/>
  </cols>
  <sheetData>
    <row r="2" spans="2:15" ht="19.5" thickBot="1">
      <c r="B2" s="288" t="s">
        <v>11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</row>
    <row r="3" spans="2:15" ht="63.75" thickBot="1">
      <c r="B3" s="2" t="s">
        <v>1</v>
      </c>
      <c r="C3" s="3" t="s">
        <v>2</v>
      </c>
      <c r="D3" s="82" t="s">
        <v>225</v>
      </c>
      <c r="E3" s="75" t="s">
        <v>224</v>
      </c>
      <c r="F3" s="3" t="s">
        <v>3</v>
      </c>
      <c r="G3" s="3" t="s">
        <v>4</v>
      </c>
      <c r="H3" s="3" t="s">
        <v>5</v>
      </c>
      <c r="I3" s="3" t="s">
        <v>6</v>
      </c>
      <c r="J3" s="54" t="s">
        <v>184</v>
      </c>
      <c r="K3" s="25" t="s">
        <v>7</v>
      </c>
      <c r="L3" s="3" t="s">
        <v>8</v>
      </c>
      <c r="M3" s="4" t="s">
        <v>9</v>
      </c>
      <c r="N3" s="4" t="s">
        <v>339</v>
      </c>
      <c r="O3" s="4" t="s">
        <v>80</v>
      </c>
    </row>
    <row r="4" spans="2:15" ht="75">
      <c r="B4" s="12" t="s">
        <v>37</v>
      </c>
      <c r="C4" s="15" t="s">
        <v>38</v>
      </c>
      <c r="D4" s="245" t="s">
        <v>241</v>
      </c>
      <c r="E4" s="106">
        <v>31.76</v>
      </c>
      <c r="F4" s="110">
        <v>20745632</v>
      </c>
      <c r="G4" s="110">
        <v>3962530</v>
      </c>
      <c r="H4" s="110"/>
      <c r="I4" s="110"/>
      <c r="J4" s="110"/>
      <c r="K4" s="110"/>
      <c r="L4" s="110">
        <f>SUM(F4:K4)</f>
        <v>24708162</v>
      </c>
      <c r="M4" s="166"/>
      <c r="N4" s="271" t="s">
        <v>309</v>
      </c>
      <c r="O4" s="167"/>
    </row>
    <row r="5" spans="2:15" ht="115.5" customHeight="1">
      <c r="B5" s="137" t="s">
        <v>16</v>
      </c>
      <c r="C5" s="7" t="s">
        <v>39</v>
      </c>
      <c r="D5" s="7" t="s">
        <v>242</v>
      </c>
      <c r="E5" s="111">
        <v>0.69350000000000001</v>
      </c>
      <c r="F5" s="170">
        <v>402230</v>
      </c>
      <c r="G5" s="170">
        <v>40445</v>
      </c>
      <c r="H5" s="170"/>
      <c r="I5" s="170"/>
      <c r="J5" s="170"/>
      <c r="K5" s="170"/>
      <c r="L5" s="170">
        <f>SUM(F5:K5)</f>
        <v>442675</v>
      </c>
      <c r="M5" s="158"/>
      <c r="N5" s="270" t="s">
        <v>310</v>
      </c>
      <c r="O5" s="168"/>
    </row>
    <row r="6" spans="2:15" ht="48.75" customHeight="1">
      <c r="B6" s="137" t="s">
        <v>40</v>
      </c>
      <c r="C6" s="7" t="s">
        <v>41</v>
      </c>
      <c r="D6" s="7" t="s">
        <v>243</v>
      </c>
      <c r="E6" s="111">
        <v>4.9000000000000004</v>
      </c>
      <c r="F6" s="170">
        <v>3675000</v>
      </c>
      <c r="G6" s="170">
        <f>1284000</f>
        <v>1284000</v>
      </c>
      <c r="H6" s="170"/>
      <c r="I6" s="170"/>
      <c r="J6" s="170"/>
      <c r="K6" s="170">
        <v>2250000</v>
      </c>
      <c r="L6" s="170">
        <f>SUM(F6:K6)</f>
        <v>7209000</v>
      </c>
      <c r="M6" s="158"/>
      <c r="N6" s="234" t="s">
        <v>307</v>
      </c>
      <c r="O6" s="169"/>
    </row>
    <row r="7" spans="2:15" ht="177" customHeight="1" thickBot="1">
      <c r="B7" s="126" t="s">
        <v>18</v>
      </c>
      <c r="C7" s="250" t="s">
        <v>305</v>
      </c>
      <c r="D7" s="233" t="s">
        <v>244</v>
      </c>
      <c r="E7" s="127">
        <v>0.6</v>
      </c>
      <c r="F7" s="150">
        <v>438000</v>
      </c>
      <c r="G7" s="150">
        <v>175000</v>
      </c>
      <c r="H7" s="150"/>
      <c r="I7" s="150"/>
      <c r="J7" s="150"/>
      <c r="K7" s="150"/>
      <c r="L7" s="150">
        <f>SUM(F7:K7)</f>
        <v>613000</v>
      </c>
      <c r="M7" s="128" t="s">
        <v>162</v>
      </c>
      <c r="N7" s="260" t="s">
        <v>311</v>
      </c>
      <c r="O7" s="79"/>
    </row>
    <row r="8" spans="2:15" s="171" customFormat="1" ht="33.75" customHeight="1" thickBot="1">
      <c r="B8" s="320" t="s">
        <v>10</v>
      </c>
      <c r="C8" s="321"/>
      <c r="D8" s="322"/>
      <c r="E8" s="187">
        <f>SUM(E4:E7)</f>
        <v>37.953499999999998</v>
      </c>
      <c r="F8" s="183">
        <f t="shared" ref="F8:J8" si="0">SUM(F4:F7)</f>
        <v>25260862</v>
      </c>
      <c r="G8" s="183">
        <f t="shared" si="0"/>
        <v>5461975</v>
      </c>
      <c r="H8" s="183">
        <f t="shared" si="0"/>
        <v>0</v>
      </c>
      <c r="I8" s="183">
        <f t="shared" si="0"/>
        <v>0</v>
      </c>
      <c r="J8" s="183">
        <f t="shared" si="0"/>
        <v>0</v>
      </c>
      <c r="K8" s="183">
        <f>SUM(K4:K7)</f>
        <v>2250000</v>
      </c>
      <c r="L8" s="183">
        <f>SUM(L4:L7)</f>
        <v>32972837</v>
      </c>
      <c r="M8" s="157"/>
      <c r="N8" s="269"/>
      <c r="O8" s="188"/>
    </row>
  </sheetData>
  <mergeCells count="2">
    <mergeCell ref="B2:O2"/>
    <mergeCell ref="B8:D8"/>
  </mergeCells>
  <pageMargins left="0.15748031496062992" right="0.15748031496062992" top="0.23622047244094491" bottom="0.19685039370078741" header="0.23622047244094491" footer="0.31496062992125984"/>
  <pageSetup paperSize="9" scale="80" orientation="landscape" verticalDpi="0" r:id="rId1"/>
  <ignoredErrors>
    <ignoredError sqref="L4:L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B2:O5"/>
  <sheetViews>
    <sheetView workbookViewId="0">
      <selection activeCell="N3" sqref="N3"/>
    </sheetView>
  </sheetViews>
  <sheetFormatPr defaultRowHeight="15"/>
  <cols>
    <col min="1" max="1" width="2.7109375" customWidth="1"/>
    <col min="2" max="2" width="14.85546875" customWidth="1"/>
    <col min="3" max="3" width="18.28515625" customWidth="1"/>
    <col min="4" max="4" width="15.7109375" customWidth="1"/>
    <col min="5" max="5" width="14.42578125" customWidth="1"/>
    <col min="6" max="6" width="10.5703125" customWidth="1"/>
    <col min="7" max="7" width="9.7109375" customWidth="1"/>
    <col min="8" max="8" width="10.140625" customWidth="1"/>
    <col min="9" max="9" width="10.85546875" customWidth="1"/>
    <col min="10" max="10" width="8" customWidth="1"/>
    <col min="12" max="12" width="12" style="1" customWidth="1"/>
    <col min="13" max="13" width="14.140625" hidden="1" customWidth="1"/>
    <col min="14" max="14" width="15.140625" customWidth="1"/>
    <col min="15" max="15" width="11.140625" customWidth="1"/>
  </cols>
  <sheetData>
    <row r="2" spans="2:15" ht="19.5" thickBot="1">
      <c r="B2" s="288" t="s">
        <v>42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</row>
    <row r="3" spans="2:15" ht="48" thickBot="1">
      <c r="B3" s="2" t="s">
        <v>1</v>
      </c>
      <c r="C3" s="3" t="s">
        <v>2</v>
      </c>
      <c r="D3" s="82" t="s">
        <v>225</v>
      </c>
      <c r="E3" s="75" t="s">
        <v>224</v>
      </c>
      <c r="F3" s="3" t="s">
        <v>3</v>
      </c>
      <c r="G3" s="3" t="s">
        <v>4</v>
      </c>
      <c r="H3" s="3" t="s">
        <v>5</v>
      </c>
      <c r="I3" s="3" t="s">
        <v>6</v>
      </c>
      <c r="J3" s="4" t="s">
        <v>184</v>
      </c>
      <c r="K3" s="3" t="s">
        <v>7</v>
      </c>
      <c r="L3" s="3" t="s">
        <v>8</v>
      </c>
      <c r="M3" s="4" t="s">
        <v>9</v>
      </c>
      <c r="N3" s="4" t="s">
        <v>339</v>
      </c>
      <c r="O3" s="82" t="s">
        <v>80</v>
      </c>
    </row>
    <row r="4" spans="2:15" ht="45.75" thickBot="1">
      <c r="B4" s="8" t="s">
        <v>43</v>
      </c>
      <c r="C4" s="5" t="s">
        <v>44</v>
      </c>
      <c r="D4" s="73" t="s">
        <v>245</v>
      </c>
      <c r="E4" s="77">
        <v>7.4999999999999997E-2</v>
      </c>
      <c r="F4" s="64">
        <v>43500</v>
      </c>
      <c r="G4" s="64">
        <v>0</v>
      </c>
      <c r="H4" s="64">
        <f t="shared" ref="F4:K5" si="0">SUM(H3:H3)</f>
        <v>0</v>
      </c>
      <c r="I4" s="64">
        <v>0</v>
      </c>
      <c r="J4" s="64">
        <f t="shared" si="0"/>
        <v>0</v>
      </c>
      <c r="K4" s="64">
        <f t="shared" si="0"/>
        <v>0</v>
      </c>
      <c r="L4" s="64">
        <f>SUM(F4:K4)</f>
        <v>43500</v>
      </c>
      <c r="M4" s="30" t="s">
        <v>163</v>
      </c>
      <c r="N4" s="254" t="s">
        <v>307</v>
      </c>
      <c r="O4" s="14"/>
    </row>
    <row r="5" spans="2:15" s="119" customFormat="1" ht="24" customHeight="1" thickBot="1">
      <c r="B5" s="289" t="s">
        <v>10</v>
      </c>
      <c r="C5" s="290"/>
      <c r="D5" s="291"/>
      <c r="E5" s="172">
        <f>SUM(E4)</f>
        <v>7.4999999999999997E-2</v>
      </c>
      <c r="F5" s="64">
        <f t="shared" si="0"/>
        <v>43500</v>
      </c>
      <c r="G5" s="64">
        <f t="shared" si="0"/>
        <v>0</v>
      </c>
      <c r="H5" s="64">
        <f t="shared" si="0"/>
        <v>0</v>
      </c>
      <c r="I5" s="64">
        <f t="shared" si="0"/>
        <v>0</v>
      </c>
      <c r="J5" s="64">
        <f t="shared" si="0"/>
        <v>0</v>
      </c>
      <c r="K5" s="64">
        <f t="shared" si="0"/>
        <v>0</v>
      </c>
      <c r="L5" s="64">
        <f>SUM(F5:K5)</f>
        <v>43500</v>
      </c>
      <c r="M5" s="122"/>
      <c r="N5" s="253"/>
      <c r="O5" s="121"/>
    </row>
  </sheetData>
  <mergeCells count="2">
    <mergeCell ref="B2:O2"/>
    <mergeCell ref="B5:D5"/>
  </mergeCells>
  <pageMargins left="0.16" right="0.17" top="0.38" bottom="0.74803149606299213" header="0.31496062992125984" footer="0.31496062992125984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B2:O18"/>
  <sheetViews>
    <sheetView topLeftCell="C1" workbookViewId="0">
      <selection activeCell="N3" sqref="N3"/>
    </sheetView>
  </sheetViews>
  <sheetFormatPr defaultRowHeight="15"/>
  <cols>
    <col min="1" max="1" width="3.42578125" customWidth="1"/>
    <col min="2" max="2" width="14.85546875" customWidth="1"/>
    <col min="3" max="3" width="25.28515625" customWidth="1"/>
    <col min="4" max="4" width="15.7109375" customWidth="1"/>
    <col min="5" max="5" width="14.42578125" customWidth="1"/>
    <col min="6" max="6" width="14.85546875" style="155" bestFit="1" customWidth="1"/>
    <col min="7" max="7" width="13.140625" style="155" bestFit="1" customWidth="1"/>
    <col min="8" max="8" width="10.140625" style="155" customWidth="1"/>
    <col min="9" max="9" width="11.7109375" style="155" bestFit="1" customWidth="1"/>
    <col min="10" max="10" width="8.42578125" style="155" bestFit="1" customWidth="1"/>
    <col min="11" max="11" width="14.85546875" style="155" bestFit="1" customWidth="1"/>
    <col min="12" max="12" width="15" style="152" bestFit="1" customWidth="1"/>
    <col min="13" max="13" width="15.140625" hidden="1" customWidth="1"/>
    <col min="14" max="14" width="15.140625" customWidth="1"/>
    <col min="15" max="15" width="11.140625" customWidth="1"/>
  </cols>
  <sheetData>
    <row r="2" spans="2:15" ht="19.5" thickBot="1">
      <c r="B2" s="288" t="s">
        <v>45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</row>
    <row r="3" spans="2:15" ht="48" thickBot="1">
      <c r="B3" s="2" t="s">
        <v>1</v>
      </c>
      <c r="C3" s="3" t="s">
        <v>2</v>
      </c>
      <c r="D3" s="82" t="s">
        <v>225</v>
      </c>
      <c r="E3" s="75" t="s">
        <v>224</v>
      </c>
      <c r="F3" s="148" t="s">
        <v>3</v>
      </c>
      <c r="G3" s="148" t="s">
        <v>4</v>
      </c>
      <c r="H3" s="148" t="s">
        <v>5</v>
      </c>
      <c r="I3" s="148" t="s">
        <v>6</v>
      </c>
      <c r="J3" s="193" t="s">
        <v>258</v>
      </c>
      <c r="K3" s="148" t="s">
        <v>7</v>
      </c>
      <c r="L3" s="148" t="s">
        <v>8</v>
      </c>
      <c r="M3" s="4" t="s">
        <v>9</v>
      </c>
      <c r="N3" s="4" t="s">
        <v>339</v>
      </c>
      <c r="O3" s="82" t="s">
        <v>80</v>
      </c>
    </row>
    <row r="4" spans="2:15" ht="45">
      <c r="B4" s="12" t="s">
        <v>18</v>
      </c>
      <c r="C4" s="12" t="s">
        <v>46</v>
      </c>
      <c r="D4" s="15" t="s">
        <v>246</v>
      </c>
      <c r="E4" s="106">
        <v>1.4999999999999999E-2</v>
      </c>
      <c r="F4" s="173">
        <v>10950</v>
      </c>
      <c r="G4" s="173">
        <v>53080</v>
      </c>
      <c r="H4" s="173">
        <v>0</v>
      </c>
      <c r="I4" s="173">
        <v>0</v>
      </c>
      <c r="J4" s="173">
        <v>0</v>
      </c>
      <c r="K4" s="173">
        <v>0</v>
      </c>
      <c r="L4" s="173">
        <f t="shared" ref="L4:L13" si="0">SUM(F4:K4)</f>
        <v>64030</v>
      </c>
      <c r="M4" s="12" t="s">
        <v>164</v>
      </c>
      <c r="N4" s="12" t="s">
        <v>312</v>
      </c>
      <c r="O4" s="189"/>
    </row>
    <row r="5" spans="2:15" ht="117" customHeight="1">
      <c r="B5" s="133" t="s">
        <v>47</v>
      </c>
      <c r="C5" s="124" t="s">
        <v>48</v>
      </c>
      <c r="D5" s="160" t="s">
        <v>247</v>
      </c>
      <c r="E5" s="147">
        <v>0.505</v>
      </c>
      <c r="F5" s="194">
        <v>405515</v>
      </c>
      <c r="G5" s="194">
        <v>10400</v>
      </c>
      <c r="H5" s="194">
        <v>0</v>
      </c>
      <c r="I5" s="194">
        <v>0</v>
      </c>
      <c r="J5" s="194">
        <v>0</v>
      </c>
      <c r="K5" s="194">
        <v>0</v>
      </c>
      <c r="L5" s="194">
        <f t="shared" si="0"/>
        <v>415915</v>
      </c>
      <c r="M5" s="124" t="s">
        <v>164</v>
      </c>
      <c r="N5" s="255" t="s">
        <v>313</v>
      </c>
      <c r="O5" s="143"/>
    </row>
    <row r="6" spans="2:15" ht="127.5" customHeight="1">
      <c r="B6" s="133" t="s">
        <v>47</v>
      </c>
      <c r="C6" s="124" t="s">
        <v>49</v>
      </c>
      <c r="D6" s="162" t="s">
        <v>248</v>
      </c>
      <c r="E6" s="147">
        <v>0.7</v>
      </c>
      <c r="F6" s="194">
        <v>562100</v>
      </c>
      <c r="G6" s="194">
        <v>15600</v>
      </c>
      <c r="H6" s="194">
        <v>0</v>
      </c>
      <c r="I6" s="194">
        <v>0</v>
      </c>
      <c r="J6" s="194">
        <v>0</v>
      </c>
      <c r="K6" s="194">
        <v>0</v>
      </c>
      <c r="L6" s="194">
        <f t="shared" si="0"/>
        <v>577700</v>
      </c>
      <c r="M6" s="124" t="s">
        <v>164</v>
      </c>
      <c r="N6" s="255" t="s">
        <v>313</v>
      </c>
      <c r="O6" s="143"/>
    </row>
    <row r="7" spans="2:15" ht="54.75" customHeight="1">
      <c r="B7" s="124" t="s">
        <v>50</v>
      </c>
      <c r="C7" s="124" t="s">
        <v>51</v>
      </c>
      <c r="D7" s="223" t="s">
        <v>249</v>
      </c>
      <c r="E7" s="147">
        <v>16.617999999999999</v>
      </c>
      <c r="F7" s="194">
        <v>10402868</v>
      </c>
      <c r="G7" s="194">
        <v>1520000</v>
      </c>
      <c r="H7" s="194">
        <v>0</v>
      </c>
      <c r="I7" s="194">
        <v>0</v>
      </c>
      <c r="J7" s="194">
        <v>0</v>
      </c>
      <c r="K7" s="194">
        <v>0</v>
      </c>
      <c r="L7" s="194">
        <f t="shared" si="0"/>
        <v>11922868</v>
      </c>
      <c r="M7" s="126"/>
      <c r="N7" s="255" t="s">
        <v>312</v>
      </c>
      <c r="O7" s="143"/>
    </row>
    <row r="8" spans="2:15" ht="48.75" customHeight="1">
      <c r="B8" s="126" t="s">
        <v>52</v>
      </c>
      <c r="C8" s="124" t="s">
        <v>53</v>
      </c>
      <c r="D8" s="162" t="s">
        <v>250</v>
      </c>
      <c r="E8" s="147">
        <v>2.98</v>
      </c>
      <c r="F8" s="194">
        <v>1865480</v>
      </c>
      <c r="G8" s="194">
        <v>201340</v>
      </c>
      <c r="H8" s="194">
        <v>0</v>
      </c>
      <c r="I8" s="194">
        <v>0</v>
      </c>
      <c r="J8" s="194">
        <v>0</v>
      </c>
      <c r="K8" s="194">
        <v>0</v>
      </c>
      <c r="L8" s="194">
        <f t="shared" si="0"/>
        <v>2066820</v>
      </c>
      <c r="M8" s="124" t="s">
        <v>165</v>
      </c>
      <c r="N8" s="255" t="s">
        <v>312</v>
      </c>
      <c r="O8" s="143"/>
    </row>
    <row r="9" spans="2:15" ht="60.75" customHeight="1">
      <c r="B9" s="126" t="s">
        <v>25</v>
      </c>
      <c r="C9" s="251" t="s">
        <v>54</v>
      </c>
      <c r="D9" s="223" t="s">
        <v>251</v>
      </c>
      <c r="E9" s="147">
        <v>0.99</v>
      </c>
      <c r="F9" s="194">
        <v>5162850</v>
      </c>
      <c r="G9" s="194">
        <v>102000</v>
      </c>
      <c r="H9" s="194">
        <v>0</v>
      </c>
      <c r="I9" s="194">
        <v>0</v>
      </c>
      <c r="J9" s="194">
        <v>0</v>
      </c>
      <c r="K9" s="194">
        <v>24600000</v>
      </c>
      <c r="L9" s="194">
        <f t="shared" si="0"/>
        <v>29864850</v>
      </c>
      <c r="M9" s="124" t="s">
        <v>166</v>
      </c>
      <c r="N9" s="255" t="s">
        <v>314</v>
      </c>
      <c r="O9" s="143"/>
    </row>
    <row r="10" spans="2:15" ht="48.75" customHeight="1">
      <c r="B10" s="126" t="s">
        <v>52</v>
      </c>
      <c r="C10" s="133" t="s">
        <v>55</v>
      </c>
      <c r="D10" s="162" t="s">
        <v>252</v>
      </c>
      <c r="E10" s="147">
        <v>2.1019999999999999</v>
      </c>
      <c r="F10" s="194">
        <v>1687906</v>
      </c>
      <c r="G10" s="194">
        <v>664884</v>
      </c>
      <c r="H10" s="194">
        <v>0</v>
      </c>
      <c r="I10" s="194">
        <v>0</v>
      </c>
      <c r="J10" s="194">
        <v>0</v>
      </c>
      <c r="K10" s="194">
        <v>0</v>
      </c>
      <c r="L10" s="194">
        <f t="shared" si="0"/>
        <v>2352790</v>
      </c>
      <c r="M10" s="135"/>
      <c r="N10" s="264" t="s">
        <v>314</v>
      </c>
      <c r="O10" s="143"/>
    </row>
    <row r="11" spans="2:15" ht="150">
      <c r="B11" s="126" t="s">
        <v>56</v>
      </c>
      <c r="C11" s="124" t="s">
        <v>57</v>
      </c>
      <c r="D11" s="223" t="s">
        <v>253</v>
      </c>
      <c r="E11" s="147">
        <v>14.3117</v>
      </c>
      <c r="F11" s="194">
        <v>11492300</v>
      </c>
      <c r="G11" s="194">
        <v>363000</v>
      </c>
      <c r="H11" s="194">
        <v>0</v>
      </c>
      <c r="I11" s="194">
        <v>0</v>
      </c>
      <c r="J11" s="194">
        <v>0</v>
      </c>
      <c r="K11" s="194">
        <v>0</v>
      </c>
      <c r="L11" s="194">
        <f t="shared" si="0"/>
        <v>11855300</v>
      </c>
      <c r="M11" s="124" t="s">
        <v>167</v>
      </c>
      <c r="N11" s="255" t="s">
        <v>315</v>
      </c>
      <c r="O11" s="143"/>
    </row>
    <row r="12" spans="2:15" ht="45">
      <c r="B12" s="126" t="s">
        <v>20</v>
      </c>
      <c r="C12" s="124" t="s">
        <v>58</v>
      </c>
      <c r="D12" s="162" t="s">
        <v>254</v>
      </c>
      <c r="E12" s="147">
        <v>1.7154</v>
      </c>
      <c r="F12" s="194">
        <v>1789162</v>
      </c>
      <c r="G12" s="194">
        <v>553500</v>
      </c>
      <c r="H12" s="194">
        <v>0</v>
      </c>
      <c r="I12" s="194">
        <v>0</v>
      </c>
      <c r="J12" s="194">
        <v>0</v>
      </c>
      <c r="K12" s="194">
        <v>0</v>
      </c>
      <c r="L12" s="194">
        <f t="shared" si="0"/>
        <v>2342662</v>
      </c>
      <c r="M12" s="124" t="s">
        <v>168</v>
      </c>
      <c r="N12" s="255" t="s">
        <v>314</v>
      </c>
      <c r="O12" s="143"/>
    </row>
    <row r="13" spans="2:15" ht="30" customHeight="1">
      <c r="B13" s="126" t="s">
        <v>52</v>
      </c>
      <c r="C13" s="301" t="s">
        <v>61</v>
      </c>
      <c r="D13" s="315" t="s">
        <v>255</v>
      </c>
      <c r="E13" s="319">
        <v>30.547000000000001</v>
      </c>
      <c r="F13" s="323">
        <v>22950932</v>
      </c>
      <c r="G13" s="323">
        <v>2611000</v>
      </c>
      <c r="H13" s="324">
        <v>0</v>
      </c>
      <c r="I13" s="324">
        <v>0</v>
      </c>
      <c r="J13" s="324">
        <v>0</v>
      </c>
      <c r="K13" s="323">
        <v>0</v>
      </c>
      <c r="L13" s="323">
        <f t="shared" si="0"/>
        <v>25561932</v>
      </c>
      <c r="M13" s="301" t="s">
        <v>169</v>
      </c>
      <c r="N13" s="305" t="s">
        <v>314</v>
      </c>
      <c r="O13" s="313"/>
    </row>
    <row r="14" spans="2:15">
      <c r="B14" s="137" t="s">
        <v>56</v>
      </c>
      <c r="C14" s="301"/>
      <c r="D14" s="315"/>
      <c r="E14" s="319"/>
      <c r="F14" s="323"/>
      <c r="G14" s="323"/>
      <c r="H14" s="323"/>
      <c r="I14" s="323"/>
      <c r="J14" s="323"/>
      <c r="K14" s="323"/>
      <c r="L14" s="323"/>
      <c r="M14" s="301"/>
      <c r="N14" s="301"/>
      <c r="O14" s="313"/>
    </row>
    <row r="15" spans="2:15" ht="0.75" customHeight="1" thickBot="1">
      <c r="B15" s="123" t="s">
        <v>59</v>
      </c>
      <c r="C15" s="301"/>
      <c r="D15" s="315"/>
      <c r="E15" s="319"/>
      <c r="F15" s="323"/>
      <c r="G15" s="323"/>
      <c r="H15" s="323"/>
      <c r="I15" s="323"/>
      <c r="J15" s="323"/>
      <c r="K15" s="323"/>
      <c r="L15" s="323"/>
      <c r="M15" s="301"/>
      <c r="N15" s="254"/>
      <c r="O15" s="313"/>
    </row>
    <row r="16" spans="2:15" ht="4.5" hidden="1" customHeight="1" thickBot="1">
      <c r="B16" s="7" t="s">
        <v>50</v>
      </c>
      <c r="C16" s="301"/>
      <c r="D16" s="315"/>
      <c r="E16" s="319"/>
      <c r="F16" s="323"/>
      <c r="G16" s="323"/>
      <c r="H16" s="323"/>
      <c r="I16" s="323"/>
      <c r="J16" s="323"/>
      <c r="K16" s="323"/>
      <c r="L16" s="323"/>
      <c r="M16" s="301"/>
      <c r="N16" s="254"/>
      <c r="O16" s="313"/>
    </row>
    <row r="17" spans="2:15" ht="0.75" hidden="1" customHeight="1" thickBot="1">
      <c r="B17" s="123" t="s">
        <v>60</v>
      </c>
      <c r="C17" s="301"/>
      <c r="D17" s="315"/>
      <c r="E17" s="319"/>
      <c r="F17" s="323"/>
      <c r="G17" s="323"/>
      <c r="H17" s="325"/>
      <c r="I17" s="325"/>
      <c r="J17" s="325"/>
      <c r="K17" s="323"/>
      <c r="L17" s="323"/>
      <c r="M17" s="301"/>
      <c r="N17" s="254"/>
      <c r="O17" s="313"/>
    </row>
    <row r="18" spans="2:15" ht="30.75" customHeight="1" thickBot="1">
      <c r="B18" s="320" t="s">
        <v>10</v>
      </c>
      <c r="C18" s="322"/>
      <c r="D18" s="190"/>
      <c r="E18" s="191">
        <f>SUM(E4:E17)</f>
        <v>70.484099999999998</v>
      </c>
      <c r="F18" s="183">
        <f t="shared" ref="F18:K18" si="1">SUM(F4:F17)</f>
        <v>56330063</v>
      </c>
      <c r="G18" s="183">
        <f t="shared" si="1"/>
        <v>6094804</v>
      </c>
      <c r="H18" s="183">
        <f t="shared" si="1"/>
        <v>0</v>
      </c>
      <c r="I18" s="183">
        <f t="shared" si="1"/>
        <v>0</v>
      </c>
      <c r="J18" s="183">
        <f t="shared" si="1"/>
        <v>0</v>
      </c>
      <c r="K18" s="183">
        <f t="shared" si="1"/>
        <v>24600000</v>
      </c>
      <c r="L18" s="183">
        <f>SUM(L4:L17)</f>
        <v>87024867</v>
      </c>
      <c r="M18" s="188"/>
      <c r="N18" s="257"/>
      <c r="O18" s="192"/>
    </row>
  </sheetData>
  <mergeCells count="15">
    <mergeCell ref="E13:E17"/>
    <mergeCell ref="O13:O17"/>
    <mergeCell ref="B2:O2"/>
    <mergeCell ref="B18:C18"/>
    <mergeCell ref="L13:L17"/>
    <mergeCell ref="M13:M17"/>
    <mergeCell ref="K13:K17"/>
    <mergeCell ref="C13:C17"/>
    <mergeCell ref="F13:F17"/>
    <mergeCell ref="G13:G17"/>
    <mergeCell ref="D13:D17"/>
    <mergeCell ref="H13:H17"/>
    <mergeCell ref="I13:I17"/>
    <mergeCell ref="J13:J17"/>
    <mergeCell ref="N13:N14"/>
  </mergeCells>
  <pageMargins left="0.15748031496062992" right="0.15748031496062992" top="0.19685039370078741" bottom="0.23622047244094491" header="0.15748031496062992" footer="0.31496062992125984"/>
  <pageSetup paperSize="9" scale="75" orientation="landscape" verticalDpi="0" r:id="rId1"/>
  <ignoredErrors>
    <ignoredError sqref="L4:L13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B2:O29"/>
  <sheetViews>
    <sheetView topLeftCell="D1" zoomScaleNormal="100" workbookViewId="0">
      <selection activeCell="N3" sqref="N3"/>
    </sheetView>
  </sheetViews>
  <sheetFormatPr defaultRowHeight="15"/>
  <cols>
    <col min="1" max="1" width="2" customWidth="1"/>
    <col min="2" max="2" width="17.140625" customWidth="1"/>
    <col min="3" max="3" width="26.28515625" customWidth="1"/>
    <col min="4" max="4" width="15.7109375" customWidth="1"/>
    <col min="5" max="5" width="14.42578125" customWidth="1"/>
    <col min="6" max="6" width="18.140625" style="155" bestFit="1" customWidth="1"/>
    <col min="7" max="7" width="18" style="155" bestFit="1" customWidth="1"/>
    <col min="8" max="8" width="10.140625" style="155" customWidth="1"/>
    <col min="9" max="9" width="18" style="155" bestFit="1" customWidth="1"/>
    <col min="10" max="10" width="11" style="155" customWidth="1"/>
    <col min="11" max="11" width="9.5703125" style="155" bestFit="1" customWidth="1"/>
    <col min="12" max="12" width="19.7109375" style="152" bestFit="1" customWidth="1"/>
    <col min="13" max="13" width="15.7109375" hidden="1" customWidth="1"/>
    <col min="14" max="14" width="15.7109375" customWidth="1"/>
    <col min="15" max="15" width="13.42578125" customWidth="1"/>
  </cols>
  <sheetData>
    <row r="2" spans="2:15" ht="19.5" thickBot="1">
      <c r="B2" s="288" t="s">
        <v>101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</row>
    <row r="3" spans="2:15" ht="48" thickBot="1">
      <c r="B3" s="2" t="s">
        <v>1</v>
      </c>
      <c r="C3" s="3" t="s">
        <v>2</v>
      </c>
      <c r="D3" s="82" t="s">
        <v>225</v>
      </c>
      <c r="E3" s="75" t="s">
        <v>224</v>
      </c>
      <c r="F3" s="148" t="s">
        <v>3</v>
      </c>
      <c r="G3" s="203" t="s">
        <v>4</v>
      </c>
      <c r="H3" s="203" t="s">
        <v>5</v>
      </c>
      <c r="I3" s="148" t="s">
        <v>6</v>
      </c>
      <c r="J3" s="193" t="s">
        <v>184</v>
      </c>
      <c r="K3" s="148" t="s">
        <v>7</v>
      </c>
      <c r="L3" s="148" t="s">
        <v>8</v>
      </c>
      <c r="M3" s="4" t="s">
        <v>9</v>
      </c>
      <c r="N3" s="4" t="s">
        <v>339</v>
      </c>
      <c r="O3" s="20" t="s">
        <v>80</v>
      </c>
    </row>
    <row r="4" spans="2:15" ht="30.75" customHeight="1">
      <c r="B4" s="136" t="s">
        <v>16</v>
      </c>
      <c r="C4" s="331" t="s">
        <v>62</v>
      </c>
      <c r="D4" s="314" t="s">
        <v>298</v>
      </c>
      <c r="E4" s="326">
        <v>134.14699999999999</v>
      </c>
      <c r="F4" s="329">
        <v>139915320</v>
      </c>
      <c r="G4" s="329">
        <v>25023200</v>
      </c>
      <c r="H4" s="329">
        <v>0</v>
      </c>
      <c r="I4" s="329">
        <v>0</v>
      </c>
      <c r="J4" s="329">
        <v>0</v>
      </c>
      <c r="K4" s="329">
        <v>0</v>
      </c>
      <c r="L4" s="329">
        <f>SUM(F4:K5)</f>
        <v>164938520</v>
      </c>
      <c r="M4" s="314" t="s">
        <v>170</v>
      </c>
      <c r="N4" s="314" t="s">
        <v>314</v>
      </c>
      <c r="O4" s="327">
        <v>0</v>
      </c>
    </row>
    <row r="5" spans="2:15" ht="22.5" customHeight="1">
      <c r="B5" s="124" t="s">
        <v>18</v>
      </c>
      <c r="C5" s="332"/>
      <c r="D5" s="302"/>
      <c r="E5" s="310"/>
      <c r="F5" s="330"/>
      <c r="G5" s="330"/>
      <c r="H5" s="330"/>
      <c r="I5" s="330"/>
      <c r="J5" s="330"/>
      <c r="K5" s="330"/>
      <c r="L5" s="330"/>
      <c r="M5" s="302"/>
      <c r="N5" s="302"/>
      <c r="O5" s="328"/>
    </row>
    <row r="6" spans="2:15" ht="48" customHeight="1">
      <c r="B6" s="126" t="s">
        <v>40</v>
      </c>
      <c r="C6" s="130" t="s">
        <v>63</v>
      </c>
      <c r="D6" s="223" t="s">
        <v>256</v>
      </c>
      <c r="E6" s="147">
        <v>0.17299999999999999</v>
      </c>
      <c r="F6" s="204">
        <v>162447</v>
      </c>
      <c r="G6" s="204">
        <v>277420</v>
      </c>
      <c r="H6" s="204">
        <v>0</v>
      </c>
      <c r="I6" s="204">
        <v>0</v>
      </c>
      <c r="J6" s="204">
        <v>0</v>
      </c>
      <c r="K6" s="204">
        <v>0</v>
      </c>
      <c r="L6" s="204">
        <f t="shared" ref="L6:L16" si="0">SUM(F6:K6)</f>
        <v>439867</v>
      </c>
      <c r="M6" s="200">
        <v>0</v>
      </c>
      <c r="N6" s="200">
        <v>0</v>
      </c>
      <c r="O6" s="199" t="s">
        <v>81</v>
      </c>
    </row>
    <row r="7" spans="2:15" ht="47.25" customHeight="1" thickBot="1">
      <c r="B7" s="126" t="s">
        <v>20</v>
      </c>
      <c r="C7" s="130" t="s">
        <v>74</v>
      </c>
      <c r="D7" s="234" t="s">
        <v>257</v>
      </c>
      <c r="E7" s="111">
        <v>0.6</v>
      </c>
      <c r="F7" s="205">
        <v>438000</v>
      </c>
      <c r="G7" s="205">
        <v>228000</v>
      </c>
      <c r="H7" s="205">
        <v>0</v>
      </c>
      <c r="I7" s="205">
        <v>0</v>
      </c>
      <c r="J7" s="205">
        <v>0</v>
      </c>
      <c r="K7" s="205">
        <v>0</v>
      </c>
      <c r="L7" s="205">
        <f t="shared" si="0"/>
        <v>666000</v>
      </c>
      <c r="M7" s="301" t="s">
        <v>171</v>
      </c>
      <c r="N7" s="7" t="s">
        <v>316</v>
      </c>
      <c r="O7" s="129">
        <v>0</v>
      </c>
    </row>
    <row r="8" spans="2:15" ht="46.5" customHeight="1">
      <c r="B8" s="137" t="s">
        <v>20</v>
      </c>
      <c r="C8" s="17" t="s">
        <v>75</v>
      </c>
      <c r="D8" s="223" t="s">
        <v>259</v>
      </c>
      <c r="E8" s="147">
        <v>0.92</v>
      </c>
      <c r="F8" s="204">
        <v>863880</v>
      </c>
      <c r="G8" s="204">
        <v>321700</v>
      </c>
      <c r="H8" s="204">
        <v>0</v>
      </c>
      <c r="I8" s="204">
        <v>0</v>
      </c>
      <c r="J8" s="204">
        <v>0</v>
      </c>
      <c r="K8" s="204">
        <v>0</v>
      </c>
      <c r="L8" s="204">
        <f t="shared" si="0"/>
        <v>1185580</v>
      </c>
      <c r="M8" s="302"/>
      <c r="N8" s="7" t="s">
        <v>316</v>
      </c>
      <c r="O8" s="198">
        <v>0</v>
      </c>
    </row>
    <row r="9" spans="2:15" ht="74.25" customHeight="1">
      <c r="B9" s="126" t="s">
        <v>52</v>
      </c>
      <c r="C9" s="132" t="s">
        <v>64</v>
      </c>
      <c r="D9" s="146" t="s">
        <v>260</v>
      </c>
      <c r="E9" s="147">
        <v>3.3898000000000001</v>
      </c>
      <c r="F9" s="204">
        <v>2440148</v>
      </c>
      <c r="G9" s="204">
        <v>1232976</v>
      </c>
      <c r="H9" s="204">
        <v>0</v>
      </c>
      <c r="I9" s="204">
        <v>0</v>
      </c>
      <c r="J9" s="204">
        <v>0</v>
      </c>
      <c r="K9" s="204">
        <v>0</v>
      </c>
      <c r="L9" s="204">
        <f t="shared" si="0"/>
        <v>3673124</v>
      </c>
      <c r="M9" s="124" t="s">
        <v>172</v>
      </c>
      <c r="N9" s="255" t="s">
        <v>317</v>
      </c>
      <c r="O9" s="200">
        <v>0</v>
      </c>
    </row>
    <row r="10" spans="2:15" ht="56.25" customHeight="1">
      <c r="B10" s="126" t="s">
        <v>52</v>
      </c>
      <c r="C10" s="130" t="s">
        <v>65</v>
      </c>
      <c r="D10" s="223" t="s">
        <v>261</v>
      </c>
      <c r="E10" s="147">
        <v>2.74</v>
      </c>
      <c r="F10" s="204">
        <v>1715240</v>
      </c>
      <c r="G10" s="204">
        <v>442834</v>
      </c>
      <c r="H10" s="204">
        <v>0</v>
      </c>
      <c r="I10" s="204">
        <v>0</v>
      </c>
      <c r="J10" s="204">
        <v>0</v>
      </c>
      <c r="K10" s="204">
        <v>0</v>
      </c>
      <c r="L10" s="204">
        <f t="shared" si="0"/>
        <v>2158074</v>
      </c>
      <c r="M10" s="124" t="s">
        <v>173</v>
      </c>
      <c r="N10" s="255" t="s">
        <v>318</v>
      </c>
      <c r="O10" s="200">
        <v>0</v>
      </c>
    </row>
    <row r="11" spans="2:15" ht="48.75" customHeight="1">
      <c r="B11" s="126" t="s">
        <v>20</v>
      </c>
      <c r="C11" s="130" t="s">
        <v>66</v>
      </c>
      <c r="D11" s="162" t="s">
        <v>262</v>
      </c>
      <c r="E11" s="147">
        <v>0.32</v>
      </c>
      <c r="F11" s="204">
        <v>300480</v>
      </c>
      <c r="G11" s="204">
        <v>207000</v>
      </c>
      <c r="H11" s="204">
        <v>0</v>
      </c>
      <c r="I11" s="204">
        <v>0</v>
      </c>
      <c r="J11" s="204">
        <v>0</v>
      </c>
      <c r="K11" s="204">
        <v>0</v>
      </c>
      <c r="L11" s="204">
        <f t="shared" si="0"/>
        <v>507480</v>
      </c>
      <c r="M11" s="200">
        <v>0</v>
      </c>
      <c r="N11" s="255" t="s">
        <v>317</v>
      </c>
      <c r="O11" s="200">
        <v>0</v>
      </c>
    </row>
    <row r="12" spans="2:15" ht="63">
      <c r="B12" s="126" t="s">
        <v>40</v>
      </c>
      <c r="C12" s="130" t="s">
        <v>67</v>
      </c>
      <c r="D12" s="162" t="s">
        <v>263</v>
      </c>
      <c r="E12" s="147">
        <v>0.28000000000000003</v>
      </c>
      <c r="F12" s="204">
        <v>262920</v>
      </c>
      <c r="G12" s="204">
        <v>416130</v>
      </c>
      <c r="H12" s="204">
        <v>0</v>
      </c>
      <c r="I12" s="204">
        <v>0</v>
      </c>
      <c r="J12" s="204">
        <v>0</v>
      </c>
      <c r="K12" s="204">
        <v>0</v>
      </c>
      <c r="L12" s="204">
        <f t="shared" si="0"/>
        <v>679050</v>
      </c>
      <c r="M12" s="200">
        <v>0</v>
      </c>
      <c r="N12" s="273" t="s">
        <v>319</v>
      </c>
      <c r="O12" s="200">
        <v>0</v>
      </c>
    </row>
    <row r="13" spans="2:15" ht="48" customHeight="1">
      <c r="B13" s="126" t="s">
        <v>16</v>
      </c>
      <c r="C13" s="130" t="s">
        <v>68</v>
      </c>
      <c r="D13" s="162" t="s">
        <v>264</v>
      </c>
      <c r="E13" s="147">
        <v>0.85599999999999998</v>
      </c>
      <c r="F13" s="204">
        <v>892808</v>
      </c>
      <c r="G13" s="204">
        <v>105993</v>
      </c>
      <c r="H13" s="204">
        <v>0</v>
      </c>
      <c r="I13" s="204">
        <v>0</v>
      </c>
      <c r="J13" s="204">
        <v>0</v>
      </c>
      <c r="K13" s="204">
        <v>0</v>
      </c>
      <c r="L13" s="272">
        <f t="shared" si="0"/>
        <v>998801</v>
      </c>
      <c r="M13" s="200">
        <v>0</v>
      </c>
      <c r="N13" s="255" t="s">
        <v>317</v>
      </c>
      <c r="O13" s="200">
        <v>0</v>
      </c>
    </row>
    <row r="14" spans="2:15" ht="63">
      <c r="B14" s="126" t="s">
        <v>20</v>
      </c>
      <c r="C14" s="130" t="s">
        <v>69</v>
      </c>
      <c r="D14" s="162" t="s">
        <v>265</v>
      </c>
      <c r="E14" s="147">
        <v>29.495999999999999</v>
      </c>
      <c r="F14" s="204">
        <v>27696744</v>
      </c>
      <c r="G14" s="204">
        <v>14076000</v>
      </c>
      <c r="H14" s="204">
        <v>0</v>
      </c>
      <c r="I14" s="204"/>
      <c r="J14" s="204">
        <v>0</v>
      </c>
      <c r="K14" s="204">
        <v>0</v>
      </c>
      <c r="L14" s="204">
        <f t="shared" si="0"/>
        <v>41772744</v>
      </c>
      <c r="M14" s="200">
        <v>0</v>
      </c>
      <c r="N14" s="273" t="s">
        <v>319</v>
      </c>
      <c r="O14" s="200">
        <v>0</v>
      </c>
    </row>
    <row r="15" spans="2:15" ht="45">
      <c r="B15" s="126" t="s">
        <v>20</v>
      </c>
      <c r="C15" s="130" t="s">
        <v>71</v>
      </c>
      <c r="D15" s="162" t="s">
        <v>266</v>
      </c>
      <c r="E15" s="147">
        <v>0.02</v>
      </c>
      <c r="F15" s="204">
        <v>20860</v>
      </c>
      <c r="G15" s="204">
        <v>28000</v>
      </c>
      <c r="H15" s="204">
        <v>0</v>
      </c>
      <c r="I15" s="204">
        <v>0</v>
      </c>
      <c r="J15" s="204"/>
      <c r="K15" s="204">
        <v>0</v>
      </c>
      <c r="L15" s="204">
        <f t="shared" si="0"/>
        <v>48860</v>
      </c>
      <c r="M15" s="124" t="s">
        <v>174</v>
      </c>
      <c r="N15" s="255" t="s">
        <v>318</v>
      </c>
      <c r="O15" s="200">
        <v>0</v>
      </c>
    </row>
    <row r="16" spans="2:15" ht="114.75">
      <c r="B16" s="201" t="s">
        <v>73</v>
      </c>
      <c r="C16" s="202" t="s">
        <v>72</v>
      </c>
      <c r="D16" s="200">
        <v>0</v>
      </c>
      <c r="E16" s="200">
        <v>0</v>
      </c>
      <c r="F16" s="204">
        <v>0</v>
      </c>
      <c r="G16" s="204">
        <v>0</v>
      </c>
      <c r="H16" s="204">
        <v>0</v>
      </c>
      <c r="I16" s="204">
        <v>32562000</v>
      </c>
      <c r="J16" s="204">
        <v>0</v>
      </c>
      <c r="K16" s="204">
        <v>0</v>
      </c>
      <c r="L16" s="204">
        <f t="shared" si="0"/>
        <v>32562000</v>
      </c>
      <c r="M16" s="200">
        <v>0</v>
      </c>
      <c r="N16" s="255" t="s">
        <v>318</v>
      </c>
      <c r="O16" s="200">
        <v>0</v>
      </c>
    </row>
    <row r="17" spans="2:15" ht="60">
      <c r="B17" s="199" t="s">
        <v>76</v>
      </c>
      <c r="C17" s="196" t="s">
        <v>77</v>
      </c>
      <c r="D17" s="223" t="s">
        <v>299</v>
      </c>
      <c r="E17" s="147">
        <v>0.85</v>
      </c>
      <c r="F17" s="204">
        <v>0</v>
      </c>
      <c r="G17" s="204">
        <v>0</v>
      </c>
      <c r="H17" s="204">
        <v>0</v>
      </c>
      <c r="I17" s="204"/>
      <c r="J17" s="204">
        <v>0</v>
      </c>
      <c r="K17" s="204">
        <v>0</v>
      </c>
      <c r="L17" s="204">
        <v>0</v>
      </c>
      <c r="M17" s="200">
        <v>0</v>
      </c>
      <c r="N17" s="200"/>
      <c r="O17" s="199" t="s">
        <v>78</v>
      </c>
    </row>
    <row r="18" spans="2:15" ht="60.75" thickBot="1">
      <c r="B18" s="24" t="s">
        <v>76</v>
      </c>
      <c r="C18" s="196" t="s">
        <v>79</v>
      </c>
      <c r="D18" s="244" t="s">
        <v>267</v>
      </c>
      <c r="E18" s="197">
        <v>0.9</v>
      </c>
      <c r="F18" s="206">
        <v>0</v>
      </c>
      <c r="G18" s="206">
        <v>0</v>
      </c>
      <c r="H18" s="206">
        <v>0</v>
      </c>
      <c r="I18" s="206"/>
      <c r="J18" s="206">
        <v>0</v>
      </c>
      <c r="K18" s="206">
        <v>0</v>
      </c>
      <c r="L18" s="206">
        <v>0</v>
      </c>
      <c r="M18" s="129">
        <v>0</v>
      </c>
      <c r="N18" s="129"/>
      <c r="O18" s="24" t="s">
        <v>78</v>
      </c>
    </row>
    <row r="19" spans="2:15" ht="27.75" customHeight="1" thickBot="1">
      <c r="B19" s="289" t="s">
        <v>10</v>
      </c>
      <c r="C19" s="291"/>
      <c r="D19" s="14"/>
      <c r="E19" s="19">
        <f>SUM(E4:E18)</f>
        <v>174.6918</v>
      </c>
      <c r="F19" s="207">
        <f>SUM(F4:F18)</f>
        <v>174708847</v>
      </c>
      <c r="G19" s="207">
        <f t="shared" ref="G19:L19" si="1">SUM(G4:G18)</f>
        <v>42359253</v>
      </c>
      <c r="H19" s="207">
        <f t="shared" si="1"/>
        <v>0</v>
      </c>
      <c r="I19" s="207">
        <f t="shared" si="1"/>
        <v>32562000</v>
      </c>
      <c r="J19" s="207">
        <f t="shared" si="1"/>
        <v>0</v>
      </c>
      <c r="K19" s="207">
        <f t="shared" si="1"/>
        <v>0</v>
      </c>
      <c r="L19" s="207">
        <f t="shared" si="1"/>
        <v>249630100</v>
      </c>
      <c r="M19" s="91">
        <v>0</v>
      </c>
      <c r="N19" s="91"/>
      <c r="O19" s="91">
        <v>0</v>
      </c>
    </row>
    <row r="25" spans="2:15">
      <c r="C25" s="35"/>
    </row>
    <row r="26" spans="2:15">
      <c r="C26" s="35"/>
    </row>
    <row r="27" spans="2:15">
      <c r="C27" s="35"/>
    </row>
    <row r="28" spans="2:15">
      <c r="C28" s="35"/>
    </row>
    <row r="29" spans="2:15">
      <c r="C29" s="35"/>
    </row>
  </sheetData>
  <mergeCells count="16">
    <mergeCell ref="M7:M8"/>
    <mergeCell ref="B19:C19"/>
    <mergeCell ref="C4:C5"/>
    <mergeCell ref="F4:F5"/>
    <mergeCell ref="G4:G5"/>
    <mergeCell ref="B2:O2"/>
    <mergeCell ref="D4:D5"/>
    <mergeCell ref="E4:E5"/>
    <mergeCell ref="O4:O5"/>
    <mergeCell ref="L4:L5"/>
    <mergeCell ref="M4:M5"/>
    <mergeCell ref="I4:I5"/>
    <mergeCell ref="J4:J5"/>
    <mergeCell ref="K4:K5"/>
    <mergeCell ref="H4:H5"/>
    <mergeCell ref="N4:N5"/>
  </mergeCells>
  <pageMargins left="0.15748031496062992" right="0.15748031496062992" top="0.11811023622047245" bottom="0.15748031496062992" header="0.15748031496062992" footer="0.19685039370078741"/>
  <pageSetup paperSize="9" scale="62" orientation="landscape" verticalDpi="0" r:id="rId1"/>
  <ignoredErrors>
    <ignoredError sqref="L6:L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2002-03</vt:lpstr>
      <vt:lpstr>2003-04</vt:lpstr>
      <vt:lpstr>2004-05</vt:lpstr>
      <vt:lpstr>2005-06</vt:lpstr>
      <vt:lpstr>2006-07</vt:lpstr>
      <vt:lpstr>2007-08</vt:lpstr>
      <vt:lpstr>2008-09</vt:lpstr>
      <vt:lpstr>2009-10</vt:lpstr>
      <vt:lpstr>2010-11</vt:lpstr>
      <vt:lpstr>2011-12</vt:lpstr>
      <vt:lpstr>2012-13</vt:lpstr>
      <vt:lpstr>2013-14</vt:lpstr>
      <vt:lpstr>2014-15</vt:lpstr>
      <vt:lpstr>2015-16</vt:lpstr>
      <vt:lpstr>2016-17</vt:lpstr>
      <vt:lpstr>Abstract-1980 to 2016</vt:lpstr>
      <vt:lpstr>Sheet1</vt:lpstr>
      <vt:lpstr>'2002-03'!Print_Area</vt:lpstr>
      <vt:lpstr>'2003-04'!Print_Area</vt:lpstr>
      <vt:lpstr>'2004-05'!Print_Area</vt:lpstr>
      <vt:lpstr>'2005-06'!Print_Area</vt:lpstr>
      <vt:lpstr>'2006-07'!Print_Titles</vt:lpstr>
      <vt:lpstr>'2009-10'!Print_Titles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2017-08-21T09:05:14Z</dcterms:modified>
</cp:coreProperties>
</file>